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Admin\AppData\Local\Temp\Tandan JSC\files\"/>
    </mc:Choice>
  </mc:AlternateContent>
  <xr:revisionPtr revIDLastSave="0" documentId="13_ncr:1_{3A37A692-2495-4A4E-B0AD-5A48AEF35402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PL thu" sheetId="1" r:id="rId1"/>
    <sheet name="PL chi NS" sheetId="4" r:id="rId2"/>
  </sheets>
  <externalReferences>
    <externalReference r:id="rId3"/>
  </externalReferences>
  <definedNames>
    <definedName name="_xlnm.Print_Titles" localSheetId="0">'PL thu'!$5:$9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4" l="1"/>
  <c r="E28" i="4"/>
  <c r="E30" i="4"/>
  <c r="E32" i="4"/>
  <c r="E31" i="4"/>
  <c r="R23" i="1"/>
  <c r="U23" i="1"/>
  <c r="W23" i="1"/>
  <c r="X23" i="1"/>
  <c r="U25" i="1"/>
  <c r="Q25" i="1" s="1"/>
  <c r="Q26" i="1"/>
  <c r="R37" i="1" l="1"/>
  <c r="R34" i="1"/>
  <c r="R28" i="1"/>
  <c r="R33" i="1" l="1"/>
  <c r="R40" i="1"/>
  <c r="R39" i="1" s="1"/>
  <c r="R27" i="1"/>
  <c r="R18" i="1"/>
  <c r="R13" i="1"/>
  <c r="R12" i="1" l="1"/>
  <c r="R11" i="1" s="1"/>
  <c r="R10" i="1" s="1"/>
  <c r="T46" i="1"/>
  <c r="Q46" i="1"/>
  <c r="K46" i="1"/>
  <c r="T45" i="1"/>
  <c r="Q45" i="1"/>
  <c r="K45" i="1"/>
  <c r="G45" i="1"/>
  <c r="C45" i="1"/>
  <c r="C43" i="1" s="1"/>
  <c r="T44" i="1"/>
  <c r="Q44" i="1"/>
  <c r="K44" i="1"/>
  <c r="G44" i="1"/>
  <c r="C44" i="1"/>
  <c r="X43" i="1"/>
  <c r="W43" i="1"/>
  <c r="V43" i="1"/>
  <c r="U43" i="1"/>
  <c r="P43" i="1"/>
  <c r="O43" i="1"/>
  <c r="N43" i="1"/>
  <c r="M43" i="1"/>
  <c r="L43" i="1"/>
  <c r="J43" i="1"/>
  <c r="I43" i="1"/>
  <c r="H43" i="1"/>
  <c r="F43" i="1"/>
  <c r="E43" i="1"/>
  <c r="D43" i="1"/>
  <c r="T42" i="1"/>
  <c r="K42" i="1"/>
  <c r="C42" i="1"/>
  <c r="T41" i="1"/>
  <c r="Q41" i="1"/>
  <c r="K41" i="1"/>
  <c r="G41" i="1"/>
  <c r="C41" i="1"/>
  <c r="V40" i="1"/>
  <c r="T40" i="1" s="1"/>
  <c r="U40" i="1"/>
  <c r="U39" i="1" s="1"/>
  <c r="M40" i="1"/>
  <c r="M39" i="1" s="1"/>
  <c r="G40" i="1"/>
  <c r="C40" i="1"/>
  <c r="X39" i="1"/>
  <c r="W39" i="1"/>
  <c r="P39" i="1"/>
  <c r="O39" i="1"/>
  <c r="N39" i="1"/>
  <c r="L39" i="1"/>
  <c r="J39" i="1"/>
  <c r="I39" i="1"/>
  <c r="H39" i="1"/>
  <c r="F39" i="1"/>
  <c r="E39" i="1"/>
  <c r="D39" i="1"/>
  <c r="T38" i="1"/>
  <c r="T37" i="1" s="1"/>
  <c r="Q38" i="1"/>
  <c r="S38" i="1" s="1"/>
  <c r="S37" i="1" s="1"/>
  <c r="K38" i="1"/>
  <c r="K37" i="1" s="1"/>
  <c r="G38" i="1"/>
  <c r="G37" i="1" s="1"/>
  <c r="C38" i="1"/>
  <c r="C37" i="1" s="1"/>
  <c r="X37" i="1"/>
  <c r="W37" i="1"/>
  <c r="V37" i="1"/>
  <c r="U37" i="1"/>
  <c r="P37" i="1"/>
  <c r="O37" i="1"/>
  <c r="N37" i="1"/>
  <c r="M37" i="1"/>
  <c r="L37" i="1"/>
  <c r="J37" i="1"/>
  <c r="I37" i="1"/>
  <c r="H37" i="1"/>
  <c r="F37" i="1"/>
  <c r="E37" i="1"/>
  <c r="D37" i="1"/>
  <c r="T36" i="1"/>
  <c r="Q36" i="1"/>
  <c r="S36" i="1" s="1"/>
  <c r="K36" i="1"/>
  <c r="G36" i="1"/>
  <c r="C36" i="1"/>
  <c r="T35" i="1"/>
  <c r="Q35" i="1"/>
  <c r="K35" i="1"/>
  <c r="G35" i="1"/>
  <c r="C35" i="1"/>
  <c r="X34" i="1"/>
  <c r="W34" i="1"/>
  <c r="V34" i="1"/>
  <c r="U34" i="1"/>
  <c r="P34" i="1"/>
  <c r="O34" i="1"/>
  <c r="N34" i="1"/>
  <c r="M34" i="1"/>
  <c r="L34" i="1"/>
  <c r="J34" i="1"/>
  <c r="I34" i="1"/>
  <c r="H34" i="1"/>
  <c r="F34" i="1"/>
  <c r="E34" i="1"/>
  <c r="E33" i="1" s="1"/>
  <c r="D34" i="1"/>
  <c r="V32" i="1"/>
  <c r="T32" i="1" s="1"/>
  <c r="U32" i="1"/>
  <c r="Q32" i="1" s="1"/>
  <c r="K32" i="1"/>
  <c r="G32" i="1"/>
  <c r="C32" i="1"/>
  <c r="V31" i="1"/>
  <c r="T31" i="1" s="1"/>
  <c r="Q31" i="1"/>
  <c r="S31" i="1" s="1"/>
  <c r="K31" i="1"/>
  <c r="G31" i="1"/>
  <c r="C31" i="1"/>
  <c r="V30" i="1"/>
  <c r="T30" i="1" s="1"/>
  <c r="Q30" i="1"/>
  <c r="S30" i="1" s="1"/>
  <c r="K30" i="1"/>
  <c r="G30" i="1"/>
  <c r="C30" i="1"/>
  <c r="T29" i="1"/>
  <c r="Q29" i="1"/>
  <c r="K29" i="1"/>
  <c r="G29" i="1"/>
  <c r="C29" i="1"/>
  <c r="X28" i="1"/>
  <c r="X27" i="1" s="1"/>
  <c r="W28" i="1"/>
  <c r="W27" i="1" s="1"/>
  <c r="U28" i="1"/>
  <c r="P28" i="1"/>
  <c r="P27" i="1" s="1"/>
  <c r="O28" i="1"/>
  <c r="O27" i="1" s="1"/>
  <c r="N28" i="1"/>
  <c r="N27" i="1" s="1"/>
  <c r="M28" i="1"/>
  <c r="M27" i="1" s="1"/>
  <c r="L28" i="1"/>
  <c r="L27" i="1" s="1"/>
  <c r="J28" i="1"/>
  <c r="J27" i="1" s="1"/>
  <c r="I28" i="1"/>
  <c r="I27" i="1" s="1"/>
  <c r="H28" i="1"/>
  <c r="H27" i="1" s="1"/>
  <c r="F28" i="1"/>
  <c r="F27" i="1" s="1"/>
  <c r="E28" i="1"/>
  <c r="E27" i="1" s="1"/>
  <c r="D28" i="1"/>
  <c r="D27" i="1" s="1"/>
  <c r="T25" i="1"/>
  <c r="S25" i="1" s="1"/>
  <c r="K25" i="1"/>
  <c r="G25" i="1"/>
  <c r="C25" i="1"/>
  <c r="V24" i="1"/>
  <c r="V23" i="1" s="1"/>
  <c r="Q24" i="1"/>
  <c r="K24" i="1"/>
  <c r="G24" i="1"/>
  <c r="C24" i="1"/>
  <c r="P23" i="1"/>
  <c r="O23" i="1"/>
  <c r="N23" i="1"/>
  <c r="M23" i="1"/>
  <c r="L23" i="1"/>
  <c r="J23" i="1"/>
  <c r="I23" i="1"/>
  <c r="H23" i="1"/>
  <c r="F23" i="1"/>
  <c r="E23" i="1"/>
  <c r="D23" i="1"/>
  <c r="V22" i="1"/>
  <c r="T22" i="1" s="1"/>
  <c r="Q22" i="1"/>
  <c r="K22" i="1"/>
  <c r="G22" i="1"/>
  <c r="C22" i="1"/>
  <c r="U21" i="1"/>
  <c r="Q21" i="1" s="1"/>
  <c r="T21" i="1"/>
  <c r="S21" i="1" s="1"/>
  <c r="K21" i="1"/>
  <c r="G21" i="1"/>
  <c r="C21" i="1"/>
  <c r="T20" i="1"/>
  <c r="Q20" i="1"/>
  <c r="K20" i="1"/>
  <c r="G20" i="1"/>
  <c r="C20" i="1"/>
  <c r="T19" i="1"/>
  <c r="Q19" i="1"/>
  <c r="K19" i="1"/>
  <c r="G19" i="1"/>
  <c r="C19" i="1"/>
  <c r="X18" i="1"/>
  <c r="W18" i="1"/>
  <c r="V18" i="1"/>
  <c r="U18" i="1"/>
  <c r="P18" i="1"/>
  <c r="O18" i="1"/>
  <c r="N18" i="1"/>
  <c r="M18" i="1"/>
  <c r="L18" i="1"/>
  <c r="J18" i="1"/>
  <c r="I18" i="1"/>
  <c r="H18" i="1"/>
  <c r="F18" i="1"/>
  <c r="E18" i="1"/>
  <c r="D18" i="1"/>
  <c r="T17" i="1"/>
  <c r="Q17" i="1"/>
  <c r="Z17" i="1" s="1"/>
  <c r="K17" i="1"/>
  <c r="G17" i="1"/>
  <c r="C17" i="1"/>
  <c r="U16" i="1"/>
  <c r="Q16" i="1" s="1"/>
  <c r="T16" i="1"/>
  <c r="S16" i="1" s="1"/>
  <c r="K16" i="1"/>
  <c r="G16" i="1"/>
  <c r="C16" i="1"/>
  <c r="T15" i="1"/>
  <c r="Q15" i="1"/>
  <c r="K15" i="1"/>
  <c r="G15" i="1"/>
  <c r="C15" i="1"/>
  <c r="V14" i="1"/>
  <c r="U14" i="1"/>
  <c r="Q14" i="1" s="1"/>
  <c r="K14" i="1"/>
  <c r="G14" i="1"/>
  <c r="C14" i="1"/>
  <c r="X13" i="1"/>
  <c r="W13" i="1"/>
  <c r="P13" i="1"/>
  <c r="O13" i="1"/>
  <c r="N13" i="1"/>
  <c r="M13" i="1"/>
  <c r="L13" i="1"/>
  <c r="J13" i="1"/>
  <c r="I13" i="1"/>
  <c r="H13" i="1"/>
  <c r="F13" i="1"/>
  <c r="E13" i="1"/>
  <c r="D13" i="1"/>
  <c r="S41" i="1" l="1"/>
  <c r="G39" i="1"/>
  <c r="K40" i="1"/>
  <c r="S22" i="1"/>
  <c r="G28" i="1"/>
  <c r="S17" i="1"/>
  <c r="T34" i="1"/>
  <c r="T33" i="1" s="1"/>
  <c r="S14" i="1"/>
  <c r="Q23" i="1"/>
  <c r="T28" i="1"/>
  <c r="T27" i="1" s="1"/>
  <c r="T39" i="1"/>
  <c r="Z35" i="1"/>
  <c r="S35" i="1"/>
  <c r="S34" i="1" s="1"/>
  <c r="S33" i="1" s="1"/>
  <c r="S20" i="1"/>
  <c r="U27" i="1"/>
  <c r="S29" i="1"/>
  <c r="S28" i="1" s="1"/>
  <c r="S27" i="1" s="1"/>
  <c r="Q28" i="1"/>
  <c r="T18" i="1"/>
  <c r="S19" i="1"/>
  <c r="S18" i="1" s="1"/>
  <c r="T13" i="1"/>
  <c r="S15" i="1"/>
  <c r="C23" i="1"/>
  <c r="Y25" i="1"/>
  <c r="K23" i="1"/>
  <c r="Q13" i="1"/>
  <c r="V13" i="1"/>
  <c r="T14" i="1"/>
  <c r="K39" i="1"/>
  <c r="P12" i="1"/>
  <c r="K34" i="1"/>
  <c r="K33" i="1" s="1"/>
  <c r="W33" i="1"/>
  <c r="Z45" i="1"/>
  <c r="D33" i="1"/>
  <c r="O12" i="1"/>
  <c r="P33" i="1"/>
  <c r="P11" i="1" s="1"/>
  <c r="P10" i="1" s="1"/>
  <c r="G13" i="1"/>
  <c r="Z30" i="1"/>
  <c r="Y41" i="1"/>
  <c r="C13" i="1"/>
  <c r="G18" i="1"/>
  <c r="T24" i="1"/>
  <c r="T23" i="1" s="1"/>
  <c r="K28" i="1"/>
  <c r="K27" i="1" s="1"/>
  <c r="Q40" i="1"/>
  <c r="Z40" i="1" s="1"/>
  <c r="Z29" i="1"/>
  <c r="X33" i="1"/>
  <c r="J33" i="1"/>
  <c r="I33" i="1"/>
  <c r="D12" i="1"/>
  <c r="F33" i="1"/>
  <c r="I12" i="1"/>
  <c r="G27" i="1"/>
  <c r="C28" i="1"/>
  <c r="C27" i="1" s="1"/>
  <c r="Y15" i="1"/>
  <c r="Z31" i="1"/>
  <c r="Z38" i="1"/>
  <c r="W12" i="1"/>
  <c r="E12" i="1"/>
  <c r="E11" i="1" s="1"/>
  <c r="E10" i="1" s="1"/>
  <c r="Q34" i="1"/>
  <c r="G34" i="1"/>
  <c r="G33" i="1" s="1"/>
  <c r="X12" i="1"/>
  <c r="U33" i="1"/>
  <c r="O33" i="1"/>
  <c r="T43" i="1"/>
  <c r="Y17" i="1"/>
  <c r="Z25" i="1"/>
  <c r="Y30" i="1"/>
  <c r="V33" i="1"/>
  <c r="N12" i="1"/>
  <c r="C39" i="1"/>
  <c r="V39" i="1"/>
  <c r="L33" i="1"/>
  <c r="J12" i="1"/>
  <c r="M33" i="1"/>
  <c r="Z22" i="1"/>
  <c r="K18" i="1"/>
  <c r="G23" i="1"/>
  <c r="G12" i="1" s="1"/>
  <c r="H12" i="1"/>
  <c r="Y35" i="1"/>
  <c r="K13" i="1"/>
  <c r="C18" i="1"/>
  <c r="U13" i="1"/>
  <c r="C34" i="1"/>
  <c r="C33" i="1" s="1"/>
  <c r="Z14" i="1"/>
  <c r="Y14" i="1"/>
  <c r="Y19" i="1"/>
  <c r="Q18" i="1"/>
  <c r="Z19" i="1"/>
  <c r="Y22" i="1"/>
  <c r="Y31" i="1"/>
  <c r="H33" i="1"/>
  <c r="N33" i="1"/>
  <c r="G43" i="1"/>
  <c r="F12" i="1"/>
  <c r="L12" i="1"/>
  <c r="Z15" i="1"/>
  <c r="Y24" i="1"/>
  <c r="Y38" i="1"/>
  <c r="Z41" i="1"/>
  <c r="K43" i="1"/>
  <c r="Y45" i="1"/>
  <c r="M12" i="1"/>
  <c r="Z24" i="1"/>
  <c r="V28" i="1"/>
  <c r="Y29" i="1"/>
  <c r="Z44" i="1"/>
  <c r="Y44" i="1"/>
  <c r="Q43" i="1"/>
  <c r="Q37" i="1"/>
  <c r="S24" i="1" l="1"/>
  <c r="S23" i="1" s="1"/>
  <c r="T12" i="1"/>
  <c r="T11" i="1" s="1"/>
  <c r="T10" i="1" s="1"/>
  <c r="O11" i="1"/>
  <c r="O10" i="1" s="1"/>
  <c r="J11" i="1"/>
  <c r="J10" i="1" s="1"/>
  <c r="X11" i="1"/>
  <c r="X10" i="1" s="1"/>
  <c r="Y40" i="1"/>
  <c r="S40" i="1"/>
  <c r="S39" i="1" s="1"/>
  <c r="Q39" i="1"/>
  <c r="Z39" i="1" s="1"/>
  <c r="Z23" i="1"/>
  <c r="S13" i="1"/>
  <c r="S12" i="1" s="1"/>
  <c r="S11" i="1" s="1"/>
  <c r="S10" i="1" s="1"/>
  <c r="Y23" i="1"/>
  <c r="D11" i="1"/>
  <c r="D10" i="1" s="1"/>
  <c r="Z34" i="1"/>
  <c r="W11" i="1"/>
  <c r="W10" i="1" s="1"/>
  <c r="L11" i="1"/>
  <c r="L10" i="1" s="1"/>
  <c r="Q33" i="1"/>
  <c r="Y33" i="1" s="1"/>
  <c r="C12" i="1"/>
  <c r="C11" i="1" s="1"/>
  <c r="C10" i="1" s="1"/>
  <c r="F11" i="1"/>
  <c r="F10" i="1" s="1"/>
  <c r="I11" i="1"/>
  <c r="I10" i="1" s="1"/>
  <c r="K12" i="1"/>
  <c r="K11" i="1" s="1"/>
  <c r="K10" i="1" s="1"/>
  <c r="G11" i="1"/>
  <c r="G10" i="1" s="1"/>
  <c r="Y34" i="1"/>
  <c r="N11" i="1"/>
  <c r="N10" i="1" s="1"/>
  <c r="U12" i="1"/>
  <c r="U11" i="1" s="1"/>
  <c r="U10" i="1" s="1"/>
  <c r="H11" i="1"/>
  <c r="H10" i="1" s="1"/>
  <c r="M11" i="1"/>
  <c r="M10" i="1" s="1"/>
  <c r="Z28" i="1"/>
  <c r="Y28" i="1"/>
  <c r="Q27" i="1"/>
  <c r="Q12" i="1" s="1"/>
  <c r="Z18" i="1"/>
  <c r="Y18" i="1"/>
  <c r="Z37" i="1"/>
  <c r="Y37" i="1"/>
  <c r="V27" i="1"/>
  <c r="V12" i="1" s="1"/>
  <c r="Z13" i="1"/>
  <c r="Y13" i="1"/>
  <c r="Z43" i="1"/>
  <c r="Y43" i="1"/>
  <c r="Y39" i="1" l="1"/>
  <c r="Z33" i="1"/>
  <c r="Q11" i="1"/>
  <c r="Q10" i="1" s="1"/>
  <c r="V11" i="1"/>
  <c r="V10" i="1" s="1"/>
  <c r="Z12" i="1"/>
  <c r="Y12" i="1"/>
  <c r="Z27" i="1"/>
  <c r="Y27" i="1"/>
  <c r="Z11" i="1" l="1"/>
  <c r="Y11" i="1"/>
  <c r="Z10" i="1" l="1"/>
  <c r="Y10" i="1"/>
  <c r="G40" i="4" l="1"/>
  <c r="F40" i="4"/>
  <c r="E34" i="4"/>
  <c r="F34" i="4" s="1"/>
  <c r="G33" i="4"/>
  <c r="F33" i="4"/>
  <c r="F32" i="4"/>
  <c r="G31" i="4"/>
  <c r="G30" i="4"/>
  <c r="E29" i="4"/>
  <c r="G29" i="4" s="1"/>
  <c r="F28" i="4"/>
  <c r="G27" i="4"/>
  <c r="F27" i="4"/>
  <c r="G26" i="4"/>
  <c r="F26" i="4"/>
  <c r="G25" i="4"/>
  <c r="F25" i="4"/>
  <c r="G24" i="4"/>
  <c r="F24" i="4"/>
  <c r="D23" i="4"/>
  <c r="D9" i="4" s="1"/>
  <c r="C23" i="4"/>
  <c r="C9" i="4" s="1"/>
  <c r="E12" i="4"/>
  <c r="E11" i="4"/>
  <c r="F31" i="4" l="1"/>
  <c r="E10" i="4"/>
  <c r="E23" i="4"/>
  <c r="F30" i="4"/>
  <c r="G34" i="4"/>
  <c r="G28" i="4"/>
  <c r="G32" i="4"/>
  <c r="F29" i="4"/>
  <c r="G23" i="4" l="1"/>
  <c r="F23" i="4"/>
  <c r="E9" i="4"/>
  <c r="F9" i="4" l="1"/>
  <c r="G9" i="4"/>
</calcChain>
</file>

<file path=xl/sharedStrings.xml><?xml version="1.0" encoding="utf-8"?>
<sst xmlns="http://schemas.openxmlformats.org/spreadsheetml/2006/main" count="141" uniqueCount="115">
  <si>
    <t>Đơn vị tính: triệu đồng</t>
  </si>
  <si>
    <t>TT</t>
  </si>
  <si>
    <t>Nội dung</t>
  </si>
  <si>
    <t xml:space="preserve"> Dự toán năm 2025</t>
  </si>
  <si>
    <t>So sánh ước TH 9 tháng đầu năm/DT(%)</t>
  </si>
  <si>
    <t xml:space="preserve"> Dự toán tỉnh giao </t>
  </si>
  <si>
    <t xml:space="preserve"> Dự toán xã giao </t>
  </si>
  <si>
    <t>Tổng cộng</t>
  </si>
  <si>
    <t>Tỉnh giao</t>
  </si>
  <si>
    <t>HĐND xã giao</t>
  </si>
  <si>
    <t xml:space="preserve"> Tổng cộng </t>
  </si>
  <si>
    <t xml:space="preserve"> Trong đó:</t>
  </si>
  <si>
    <t>NSTW</t>
  </si>
  <si>
    <t xml:space="preserve">Ngân sách tỉnh </t>
  </si>
  <si>
    <t xml:space="preserve"> Ngân sách xã </t>
  </si>
  <si>
    <t>A</t>
  </si>
  <si>
    <t>B</t>
  </si>
  <si>
    <t>TỔNG THU NSNN (A+B+C)</t>
  </si>
  <si>
    <t>Thu tại địa bàn (I+II+III+IV)</t>
  </si>
  <si>
    <t>I</t>
  </si>
  <si>
    <t>Thu thuế, phí, lệ phí</t>
  </si>
  <si>
    <t>Thuế CTN-NQD</t>
  </si>
  <si>
    <t xml:space="preserve"> 1.1. Thuế TNDN-GTGT(1050-1700)</t>
  </si>
  <si>
    <t xml:space="preserve"> 1.2. Thuế tài nguyên (1550)</t>
  </si>
  <si>
    <t xml:space="preserve"> 1.3. Thuế tiêu thu ĐB  (1750)</t>
  </si>
  <si>
    <t>Thuế TN cá nhân (1000)</t>
  </si>
  <si>
    <t>Thuế sử dụng đất phi nông nghiệp (1600)</t>
  </si>
  <si>
    <t>3.1. Đất ở nông thôn</t>
  </si>
  <si>
    <t>3.2. Đất SXKD phi NN</t>
  </si>
  <si>
    <t>Tiền sử dụng đất (1400)</t>
  </si>
  <si>
    <t>Tiền thuê đất (3600)</t>
  </si>
  <si>
    <t>Lệ phí Trước bạ (2800)</t>
  </si>
  <si>
    <t>6.1. LPTB Nhà, đất (2801)</t>
  </si>
  <si>
    <t>6.2. LPTB Oto, XM (2802)</t>
  </si>
  <si>
    <t>Thu phí, lệ phí</t>
  </si>
  <si>
    <t xml:space="preserve"> 7.1. Phí bảo vệ Môi trường</t>
  </si>
  <si>
    <t xml:space="preserve"> - Nước thải sinh hoạt</t>
  </si>
  <si>
    <t xml:space="preserve"> 7.2. Lệ phí Môn bài (2850)</t>
  </si>
  <si>
    <t>II</t>
  </si>
  <si>
    <t>Thu Tại xã</t>
  </si>
  <si>
    <t>Tiền thuê nhà, Thanh lý TSNN</t>
  </si>
  <si>
    <t xml:space="preserve"> - Thu xã quản lý (chợ, kyốt)</t>
  </si>
  <si>
    <t>Thu từ quỹ đất công ích, hoa lợi</t>
  </si>
  <si>
    <t xml:space="preserve"> - Thu từ quỹ đất công ích (3901) </t>
  </si>
  <si>
    <t>III</t>
  </si>
  <si>
    <t>Thu khác Ngân sách</t>
  </si>
  <si>
    <t>Tiền cấp QKT mỏ (1250)</t>
  </si>
  <si>
    <t>IV</t>
  </si>
  <si>
    <t>Thu đóng góp (4500)</t>
  </si>
  <si>
    <t>Thu BS ngân Sách</t>
  </si>
  <si>
    <t xml:space="preserve"> - Bổ sung cân đối NS</t>
  </si>
  <si>
    <t xml:space="preserve"> - Bổ sung có mục tiêu</t>
  </si>
  <si>
    <t>C</t>
  </si>
  <si>
    <t xml:space="preserve"> - Thanh lý tài sản</t>
  </si>
  <si>
    <t xml:space="preserve"> - Khai thác khoáng sản (2600)</t>
  </si>
  <si>
    <t>Thu khác (4250-4900)</t>
  </si>
  <si>
    <t>Thu chuyển nguồn ngân sách</t>
  </si>
  <si>
    <t>Biểu số 1</t>
  </si>
  <si>
    <t>Ngọc Liên</t>
  </si>
  <si>
    <t xml:space="preserve"> BÁO CÁO THỰC HIỆN CHI NGÂN SÁCH NHÀ NƯỚC 9 THÁNG ĐẦU NĂM 2025</t>
  </si>
  <si>
    <t>Chỉ tiêu</t>
  </si>
  <si>
    <t>Dự toán tỉnh giao năm 2025</t>
  </si>
  <si>
    <t>Dự toán xã giao năm 2025</t>
  </si>
  <si>
    <t>Ước thực hiện 9 tháng đầu năm 2025</t>
  </si>
  <si>
    <t>So sánh (%)</t>
  </si>
  <si>
    <t>TH/DT tỉnh giao</t>
  </si>
  <si>
    <t>TH/DT xã giao</t>
  </si>
  <si>
    <t xml:space="preserve">Tổng cộng  </t>
  </si>
  <si>
    <t>Chi đầu tư xây dựng cơ bản</t>
  </si>
  <si>
    <t>Chi quốc phòng</t>
  </si>
  <si>
    <t>Chi an ninh và trật tự, an toàn xã hội</t>
  </si>
  <si>
    <t>Chi giáo dục, đào tạo và dạy nghề</t>
  </si>
  <si>
    <t>Chi khoa học và công nghệ</t>
  </si>
  <si>
    <t>Chi y tế, dân số và gia đình</t>
  </si>
  <si>
    <t>Chi văn hoá thông tin</t>
  </si>
  <si>
    <t>Chi phát thanh, truyền hình, thông tấn</t>
  </si>
  <si>
    <t>Chi thể dục thể thao</t>
  </si>
  <si>
    <t>Chi bảo vệ môi trường</t>
  </si>
  <si>
    <t>Chi các hoạt động kinh tế</t>
  </si>
  <si>
    <t>Chi hoạt động của các cơ quan quản lý nhà nước, Đảng, đoàn thể</t>
  </si>
  <si>
    <t>Chi bảo đảm xã hội</t>
  </si>
  <si>
    <t>Chi thường xuyên</t>
  </si>
  <si>
    <t>Chi đảm bảo xã hội</t>
  </si>
  <si>
    <t>Các khoản chi khác theo quy định của pháp luật</t>
  </si>
  <si>
    <t>Dự phòng ngân sách</t>
  </si>
  <si>
    <t>Chi bổ sung ngân sách</t>
  </si>
  <si>
    <t>V</t>
  </si>
  <si>
    <t>Chi từ nguồn tăng thu NS</t>
  </si>
  <si>
    <t>VI</t>
  </si>
  <si>
    <t xml:space="preserve">Chi tạo nguồn CCTL </t>
  </si>
  <si>
    <t>VII</t>
  </si>
  <si>
    <t>Chi nộp trả NS cấp trên</t>
  </si>
  <si>
    <t>VIII</t>
  </si>
  <si>
    <t>Chi chuyển nguồn</t>
  </si>
  <si>
    <t>IX</t>
  </si>
  <si>
    <t>Chi các chương trình mục tiêu</t>
  </si>
  <si>
    <t>THEO DÕI THỰC HIỆN THU NGÂN SÁCH NHÀ NƯỚC NĂM 2025 XÃ NGỌC LIÊN</t>
  </si>
  <si>
    <t>Thực hiện đến 30/6</t>
  </si>
  <si>
    <t>Trong đó</t>
  </si>
  <si>
    <t>Thực hiện đến 9 tháng đầu năm 2025</t>
  </si>
  <si>
    <t>Lộc Thịnh</t>
  </si>
  <si>
    <t>Ngọc Trung</t>
  </si>
  <si>
    <t>Cao Thịnh</t>
  </si>
  <si>
    <t>Ngọc Sơn</t>
  </si>
  <si>
    <t>Trong đó: Ngân sách xã</t>
  </si>
  <si>
    <t>Thực hiện 
8 tháng</t>
  </si>
  <si>
    <t>Ước thực hiện
 tháng 9</t>
  </si>
  <si>
    <t>Tổng</t>
  </si>
  <si>
    <r>
      <rPr>
        <b/>
        <u/>
        <sz val="12"/>
        <color theme="1"/>
        <rFont val="Times New Roman"/>
        <family val="1"/>
      </rPr>
      <t>Ghi chú:</t>
    </r>
    <r>
      <rPr>
        <sz val="12"/>
        <color theme="1"/>
        <rFont val="Times New Roman"/>
        <family val="1"/>
      </rPr>
      <t xml:space="preserve">  Số tiền sử dụng đất thu được 20.000.000 đồng, Tổng hoàn thuế 64.041.867 đồng, trong đó: Tiền sử dụng đất 63.300.000 đồng, tiền lệ phí trước bạ 741.767 đồng</t>
    </r>
  </si>
  <si>
    <t xml:space="preserve"> Ngân sách xã</t>
  </si>
  <si>
    <t xml:space="preserve"> 7.3. Các loại phí khác (2700)</t>
  </si>
  <si>
    <t>6.3. LPTB quanr lý PTGT (2827)</t>
  </si>
  <si>
    <t>(Kèm theo Báo cáo số          /BC-UBND ngày    /10/2025 của UBND xã Ngọc Liên)</t>
  </si>
  <si>
    <t xml:space="preserve"> (Kèm theo Báo cáo số      /BC-UBND ngày      /10/2025 của UBND xã Ngọc Liên</t>
  </si>
  <si>
    <t>Biểu số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</si>
</sst>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_-;\-* #,##0.00_-;_-* &quot;-&quot;??_-;_-@_-"/>
    <numFmt numFmtId="165" formatCode="_-* #,##0.00\ _₫_-;\-* #,##0.00\ _₫_-;_-* &quot;-&quot;??\ _₫_-;_-@_-"/>
    <numFmt numFmtId="166" formatCode="_(* #,##0.0_);_(* \(#,##0.0\);_(* &quot;-&quot;??_);_(@_)"/>
    <numFmt numFmtId="167" formatCode="_(* #,##0_);_(* \(#,##0\);_(* &quot;-&quot;??_);_(@_)"/>
    <numFmt numFmtId="168" formatCode="_-* #,##0_-;\-* #,##0_-;_-* &quot;-&quot;??_-;_-@_-"/>
    <numFmt numFmtId="169" formatCode="0.0"/>
    <numFmt numFmtId="170" formatCode="_-* #,##0.0\ _₫_-;\-* #,##0.0\ _₫_-;_-* &quot;-&quot;?\ _₫_-;_-@_-"/>
    <numFmt numFmtId="171" formatCode="_(* #,##0.000_);_(* \(#,##0.000\);_(* &quot;-&quot;??_);_(@_)"/>
    <numFmt numFmtId="172" formatCode="#,##0.0"/>
    <numFmt numFmtId="173" formatCode="_-* #,##0.0_-;\-* #,##0.0_-;_-* &quot;-&quot;??_-;_-@_-"/>
    <numFmt numFmtId="174" formatCode="_(* #,##0.0_);_(* \(#,##0.0\);_(* &quot;-&quot;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  <font>
      <b/>
      <sz val="14"/>
      <name val="Times New Roman"/>
      <family val="1"/>
    </font>
    <font>
      <i/>
      <sz val="14"/>
      <name val="Times New Roman"/>
      <family val="1"/>
    </font>
    <font>
      <i/>
      <sz val="16"/>
      <name val="Times New Roman"/>
      <family val="1"/>
    </font>
    <font>
      <i/>
      <sz val="12"/>
      <name val="Times New Roman"/>
      <family val="1"/>
    </font>
    <font>
      <sz val="12"/>
      <color theme="1"/>
      <name val="Times New Roman"/>
      <family val="1"/>
    </font>
    <font>
      <sz val="14"/>
      <name val="Times New Roman"/>
      <family val="1"/>
    </font>
    <font>
      <b/>
      <sz val="14"/>
      <color indexed="8"/>
      <name val="Times New Roman"/>
      <family val="1"/>
    </font>
    <font>
      <b/>
      <sz val="12"/>
      <color theme="1"/>
      <name val="Times New Roman"/>
      <family val="1"/>
    </font>
    <font>
      <b/>
      <sz val="10"/>
      <name val="Times New Roman"/>
      <family val="1"/>
    </font>
    <font>
      <b/>
      <sz val="11"/>
      <color theme="1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name val="Times New Roman"/>
      <family val="1"/>
    </font>
    <font>
      <b/>
      <i/>
      <sz val="12"/>
      <name val="Times New Roman"/>
      <family val="1"/>
    </font>
    <font>
      <b/>
      <i/>
      <sz val="11"/>
      <color theme="1"/>
      <name val="Times New Roman"/>
      <family val="1"/>
    </font>
    <font>
      <b/>
      <u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107">
    <xf numFmtId="0" fontId="0" fillId="0" borderId="0" xfId="0"/>
    <xf numFmtId="0" fontId="5" fillId="0" borderId="0" xfId="0" applyFont="1"/>
    <xf numFmtId="170" fontId="5" fillId="0" borderId="0" xfId="0" applyNumberFormat="1" applyFont="1"/>
    <xf numFmtId="167" fontId="6" fillId="2" borderId="0" xfId="1" applyNumberFormat="1" applyFont="1" applyFill="1" applyAlignment="1">
      <alignment horizontal="left"/>
    </xf>
    <xf numFmtId="167" fontId="6" fillId="2" borderId="0" xfId="1" applyNumberFormat="1" applyFont="1" applyFill="1" applyBorder="1" applyAlignment="1">
      <alignment horizontal="center"/>
    </xf>
    <xf numFmtId="167" fontId="11" fillId="2" borderId="0" xfId="1" applyNumberFormat="1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/>
    <xf numFmtId="167" fontId="4" fillId="2" borderId="0" xfId="1" applyNumberFormat="1" applyFont="1" applyFill="1"/>
    <xf numFmtId="167" fontId="4" fillId="2" borderId="0" xfId="1" applyNumberFormat="1" applyFont="1" applyFill="1" applyBorder="1"/>
    <xf numFmtId="0" fontId="9" fillId="2" borderId="2" xfId="0" applyFont="1" applyFill="1" applyBorder="1" applyAlignment="1">
      <alignment horizontal="center" vertical="center" wrapText="1" shrinkToFit="1"/>
    </xf>
    <xf numFmtId="0" fontId="9" fillId="2" borderId="2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shrinkToFit="1"/>
    </xf>
    <xf numFmtId="166" fontId="3" fillId="2" borderId="17" xfId="1" applyNumberFormat="1" applyFont="1" applyFill="1" applyBorder="1" applyAlignment="1">
      <alignment horizontal="right" vertical="center" shrinkToFit="1"/>
    </xf>
    <xf numFmtId="0" fontId="3" fillId="2" borderId="18" xfId="0" applyFont="1" applyFill="1" applyBorder="1" applyAlignment="1">
      <alignment horizontal="center" vertical="center" shrinkToFit="1"/>
    </xf>
    <xf numFmtId="0" fontId="3" fillId="2" borderId="18" xfId="0" applyFont="1" applyFill="1" applyBorder="1" applyAlignment="1">
      <alignment vertical="center" shrinkToFit="1"/>
    </xf>
    <xf numFmtId="166" fontId="3" fillId="2" borderId="18" xfId="1" applyNumberFormat="1" applyFont="1" applyFill="1" applyBorder="1" applyAlignment="1">
      <alignment horizontal="right" vertical="center" shrinkToFit="1"/>
    </xf>
    <xf numFmtId="0" fontId="4" fillId="2" borderId="18" xfId="0" applyFont="1" applyFill="1" applyBorder="1" applyAlignment="1">
      <alignment horizontal="center" vertical="center" shrinkToFit="1"/>
    </xf>
    <xf numFmtId="0" fontId="4" fillId="2" borderId="18" xfId="0" applyFont="1" applyFill="1" applyBorder="1" applyAlignment="1">
      <alignment vertical="center" wrapText="1" shrinkToFit="1"/>
    </xf>
    <xf numFmtId="166" fontId="4" fillId="2" borderId="18" xfId="1" applyNumberFormat="1" applyFont="1" applyFill="1" applyBorder="1" applyAlignment="1">
      <alignment horizontal="right" vertical="center" shrinkToFit="1"/>
    </xf>
    <xf numFmtId="0" fontId="3" fillId="2" borderId="19" xfId="0" applyFont="1" applyFill="1" applyBorder="1" applyAlignment="1">
      <alignment vertical="center" shrinkToFit="1"/>
    </xf>
    <xf numFmtId="166" fontId="3" fillId="2" borderId="19" xfId="1" applyNumberFormat="1" applyFont="1" applyFill="1" applyBorder="1" applyAlignment="1">
      <alignment horizontal="right" vertical="center" shrinkToFit="1"/>
    </xf>
    <xf numFmtId="0" fontId="3" fillId="2" borderId="20" xfId="0" applyFont="1" applyFill="1" applyBorder="1" applyAlignment="1">
      <alignment horizontal="center" vertical="center" shrinkToFit="1"/>
    </xf>
    <xf numFmtId="0" fontId="3" fillId="2" borderId="20" xfId="0" applyFont="1" applyFill="1" applyBorder="1" applyAlignment="1">
      <alignment vertical="center" wrapText="1" shrinkToFit="1"/>
    </xf>
    <xf numFmtId="166" fontId="3" fillId="2" borderId="20" xfId="1" applyNumberFormat="1" applyFont="1" applyFill="1" applyBorder="1" applyAlignment="1">
      <alignment horizontal="right" vertical="center" shrinkToFit="1"/>
    </xf>
    <xf numFmtId="0" fontId="10" fillId="0" borderId="0" xfId="0" applyFont="1"/>
    <xf numFmtId="0" fontId="13" fillId="0" borderId="0" xfId="0" applyFont="1"/>
    <xf numFmtId="165" fontId="8" fillId="2" borderId="0" xfId="2" applyNumberFormat="1" applyFont="1" applyFill="1" applyAlignment="1">
      <alignment horizontal="center"/>
    </xf>
    <xf numFmtId="166" fontId="8" fillId="2" borderId="0" xfId="1" applyNumberFormat="1" applyFont="1" applyFill="1" applyAlignment="1">
      <alignment horizontal="center"/>
    </xf>
    <xf numFmtId="0" fontId="9" fillId="2" borderId="0" xfId="2" applyFont="1" applyFill="1"/>
    <xf numFmtId="0" fontId="14" fillId="2" borderId="8" xfId="2" applyFont="1" applyFill="1" applyBorder="1" applyAlignment="1">
      <alignment horizontal="center" vertical="center" shrinkToFit="1"/>
    </xf>
    <xf numFmtId="166" fontId="14" fillId="2" borderId="9" xfId="1" applyNumberFormat="1" applyFont="1" applyFill="1" applyBorder="1" applyAlignment="1">
      <alignment horizontal="center" vertical="center" shrinkToFit="1"/>
    </xf>
    <xf numFmtId="166" fontId="14" fillId="2" borderId="9" xfId="1" applyNumberFormat="1" applyFont="1" applyFill="1" applyBorder="1" applyAlignment="1">
      <alignment vertical="center" shrinkToFit="1"/>
    </xf>
    <xf numFmtId="0" fontId="14" fillId="2" borderId="9" xfId="2" applyFont="1" applyFill="1" applyBorder="1" applyAlignment="1">
      <alignment horizontal="center" vertical="center" shrinkToFit="1"/>
    </xf>
    <xf numFmtId="0" fontId="14" fillId="2" borderId="9" xfId="2" applyFont="1" applyFill="1" applyBorder="1" applyAlignment="1">
      <alignment vertical="center" shrinkToFit="1"/>
    </xf>
    <xf numFmtId="0" fontId="16" fillId="2" borderId="9" xfId="2" applyFont="1" applyFill="1" applyBorder="1" applyAlignment="1">
      <alignment horizontal="center" vertical="center" shrinkToFit="1"/>
    </xf>
    <xf numFmtId="0" fontId="16" fillId="2" borderId="9" xfId="2" applyFont="1" applyFill="1" applyBorder="1" applyAlignment="1">
      <alignment vertical="center" shrinkToFit="1"/>
    </xf>
    <xf numFmtId="0" fontId="14" fillId="2" borderId="9" xfId="2" applyFont="1" applyFill="1" applyBorder="1" applyAlignment="1">
      <alignment vertical="center" wrapText="1"/>
    </xf>
    <xf numFmtId="0" fontId="17" fillId="0" borderId="12" xfId="0" applyFont="1" applyBorder="1"/>
    <xf numFmtId="0" fontId="17" fillId="0" borderId="10" xfId="0" applyFont="1" applyBorder="1"/>
    <xf numFmtId="0" fontId="17" fillId="0" borderId="0" xfId="0" applyFont="1"/>
    <xf numFmtId="168" fontId="5" fillId="0" borderId="0" xfId="1" applyNumberFormat="1" applyFont="1"/>
    <xf numFmtId="0" fontId="14" fillId="2" borderId="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9" fillId="2" borderId="2" xfId="0" applyFont="1" applyFill="1" applyBorder="1" applyAlignment="1">
      <alignment horizontal="center" vertical="center" wrapText="1"/>
    </xf>
    <xf numFmtId="167" fontId="10" fillId="0" borderId="0" xfId="0" applyNumberFormat="1" applyFont="1"/>
    <xf numFmtId="0" fontId="5" fillId="0" borderId="0" xfId="0" applyFont="1" applyAlignment="1">
      <alignment vertical="center"/>
    </xf>
    <xf numFmtId="167" fontId="5" fillId="0" borderId="0" xfId="0" applyNumberFormat="1" applyFont="1" applyAlignment="1">
      <alignment vertical="center"/>
    </xf>
    <xf numFmtId="0" fontId="18" fillId="0" borderId="11" xfId="0" applyFont="1" applyBorder="1" applyAlignment="1">
      <alignment vertical="center"/>
    </xf>
    <xf numFmtId="0" fontId="18" fillId="0" borderId="9" xfId="0" applyFont="1" applyBorder="1" applyAlignment="1">
      <alignment vertical="center"/>
    </xf>
    <xf numFmtId="0" fontId="18" fillId="0" borderId="0" xfId="0" applyFont="1" applyAlignment="1">
      <alignment vertical="center"/>
    </xf>
    <xf numFmtId="169" fontId="14" fillId="2" borderId="3" xfId="1" applyNumberFormat="1" applyFont="1" applyFill="1" applyBorder="1" applyAlignment="1">
      <alignment horizontal="center" vertical="center" wrapText="1"/>
    </xf>
    <xf numFmtId="169" fontId="10" fillId="0" borderId="0" xfId="0" applyNumberFormat="1" applyFont="1"/>
    <xf numFmtId="169" fontId="5" fillId="0" borderId="0" xfId="0" applyNumberFormat="1" applyFont="1"/>
    <xf numFmtId="172" fontId="3" fillId="2" borderId="18" xfId="1" applyNumberFormat="1" applyFont="1" applyFill="1" applyBorder="1" applyAlignment="1">
      <alignment horizontal="right" vertical="center" shrinkToFit="1"/>
    </xf>
    <xf numFmtId="172" fontId="4" fillId="2" borderId="18" xfId="1" applyNumberFormat="1" applyFont="1" applyFill="1" applyBorder="1" applyAlignment="1">
      <alignment horizontal="right" vertical="center" shrinkToFit="1"/>
    </xf>
    <xf numFmtId="172" fontId="3" fillId="2" borderId="20" xfId="1" applyNumberFormat="1" applyFont="1" applyFill="1" applyBorder="1" applyAlignment="1">
      <alignment horizontal="right" vertical="center" shrinkToFit="1"/>
    </xf>
    <xf numFmtId="173" fontId="14" fillId="2" borderId="8" xfId="1" applyNumberFormat="1" applyFont="1" applyFill="1" applyBorder="1" applyAlignment="1">
      <alignment vertical="center" shrinkToFit="1"/>
    </xf>
    <xf numFmtId="173" fontId="14" fillId="2" borderId="9" xfId="1" applyNumberFormat="1" applyFont="1" applyFill="1" applyBorder="1" applyAlignment="1">
      <alignment vertical="center" shrinkToFit="1"/>
    </xf>
    <xf numFmtId="173" fontId="16" fillId="2" borderId="9" xfId="1" applyNumberFormat="1" applyFont="1" applyFill="1" applyBorder="1" applyAlignment="1">
      <alignment vertical="center" shrinkToFit="1"/>
    </xf>
    <xf numFmtId="173" fontId="17" fillId="0" borderId="9" xfId="1" applyNumberFormat="1" applyFont="1" applyBorder="1" applyAlignment="1">
      <alignment vertical="center"/>
    </xf>
    <xf numFmtId="173" fontId="18" fillId="0" borderId="9" xfId="1" applyNumberFormat="1" applyFont="1" applyBorder="1" applyAlignment="1">
      <alignment vertical="center"/>
    </xf>
    <xf numFmtId="173" fontId="17" fillId="0" borderId="10" xfId="1" applyNumberFormat="1" applyFont="1" applyBorder="1"/>
    <xf numFmtId="166" fontId="18" fillId="0" borderId="9" xfId="1" applyNumberFormat="1" applyFont="1" applyBorder="1" applyAlignment="1">
      <alignment vertical="center"/>
    </xf>
    <xf numFmtId="174" fontId="5" fillId="0" borderId="0" xfId="0" applyNumberFormat="1" applyFont="1" applyAlignment="1">
      <alignment vertical="center"/>
    </xf>
    <xf numFmtId="166" fontId="14" fillId="2" borderId="4" xfId="1" applyNumberFormat="1" applyFont="1" applyFill="1" applyBorder="1" applyAlignment="1">
      <alignment horizontal="center" vertical="center" wrapText="1" shrinkToFit="1"/>
    </xf>
    <xf numFmtId="166" fontId="14" fillId="2" borderId="13" xfId="1" applyNumberFormat="1" applyFont="1" applyFill="1" applyBorder="1" applyAlignment="1">
      <alignment horizontal="center" vertical="center" wrapText="1" shrinkToFit="1"/>
    </xf>
    <xf numFmtId="166" fontId="14" fillId="2" borderId="5" xfId="1" applyNumberFormat="1" applyFont="1" applyFill="1" applyBorder="1" applyAlignment="1">
      <alignment horizontal="center" vertical="center" wrapText="1" shrinkToFit="1"/>
    </xf>
    <xf numFmtId="166" fontId="14" fillId="2" borderId="3" xfId="1" applyNumberFormat="1" applyFont="1" applyFill="1" applyBorder="1" applyAlignment="1">
      <alignment horizontal="center" vertical="center" wrapText="1" shrinkToFit="1"/>
    </xf>
    <xf numFmtId="166" fontId="14" fillId="2" borderId="6" xfId="1" applyNumberFormat="1" applyFont="1" applyFill="1" applyBorder="1" applyAlignment="1">
      <alignment horizontal="center" vertical="center" wrapText="1" shrinkToFit="1"/>
    </xf>
    <xf numFmtId="166" fontId="14" fillId="2" borderId="7" xfId="1" applyNumberFormat="1" applyFont="1" applyFill="1" applyBorder="1" applyAlignment="1">
      <alignment horizontal="center" vertical="center" wrapText="1" shrinkToFit="1"/>
    </xf>
    <xf numFmtId="169" fontId="14" fillId="2" borderId="2" xfId="1" applyNumberFormat="1" applyFont="1" applyFill="1" applyBorder="1" applyAlignment="1">
      <alignment horizontal="center" vertical="center" wrapText="1"/>
    </xf>
    <xf numFmtId="169" fontId="21" fillId="0" borderId="0" xfId="0" applyNumberFormat="1" applyFont="1" applyAlignment="1">
      <alignment horizontal="center"/>
    </xf>
    <xf numFmtId="0" fontId="6" fillId="2" borderId="0" xfId="2" applyFont="1" applyFill="1" applyAlignment="1">
      <alignment horizontal="center"/>
    </xf>
    <xf numFmtId="165" fontId="8" fillId="2" borderId="0" xfId="2" applyNumberFormat="1" applyFont="1" applyFill="1" applyAlignment="1">
      <alignment horizontal="center"/>
    </xf>
    <xf numFmtId="0" fontId="9" fillId="2" borderId="0" xfId="2" applyFont="1" applyFill="1" applyAlignment="1">
      <alignment horizontal="right"/>
    </xf>
    <xf numFmtId="0" fontId="9" fillId="2" borderId="1" xfId="2" applyFont="1" applyFill="1" applyBorder="1" applyAlignment="1">
      <alignment horizontal="right"/>
    </xf>
    <xf numFmtId="0" fontId="14" fillId="2" borderId="3" xfId="2" applyFont="1" applyFill="1" applyBorder="1" applyAlignment="1">
      <alignment horizontal="center" vertical="center" wrapText="1" shrinkToFit="1"/>
    </xf>
    <xf numFmtId="0" fontId="14" fillId="2" borderId="6" xfId="2" applyFont="1" applyFill="1" applyBorder="1" applyAlignment="1">
      <alignment horizontal="center" vertical="center" wrapText="1" shrinkToFit="1"/>
    </xf>
    <xf numFmtId="0" fontId="14" fillId="2" borderId="7" xfId="2" applyFont="1" applyFill="1" applyBorder="1" applyAlignment="1">
      <alignment horizontal="center" vertical="center" wrapText="1" shrinkToFit="1"/>
    </xf>
    <xf numFmtId="0" fontId="15" fillId="0" borderId="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167" fontId="4" fillId="0" borderId="0" xfId="1" applyNumberFormat="1" applyFont="1" applyBorder="1" applyAlignment="1">
      <alignment horizontal="right" vertical="center"/>
    </xf>
    <xf numFmtId="167" fontId="13" fillId="0" borderId="0" xfId="0" applyNumberFormat="1" applyFont="1" applyAlignment="1">
      <alignment horizontal="center"/>
    </xf>
    <xf numFmtId="0" fontId="14" fillId="2" borderId="14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22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166" fontId="3" fillId="2" borderId="2" xfId="1" applyNumberFormat="1" applyFont="1" applyFill="1" applyBorder="1" applyAlignment="1">
      <alignment horizontal="center" vertical="center" wrapText="1" shrinkToFit="1"/>
    </xf>
    <xf numFmtId="167" fontId="4" fillId="2" borderId="3" xfId="1" applyNumberFormat="1" applyFont="1" applyFill="1" applyBorder="1" applyAlignment="1">
      <alignment horizontal="center" vertical="center" wrapText="1"/>
    </xf>
    <xf numFmtId="167" fontId="4" fillId="2" borderId="7" xfId="1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/>
    </xf>
    <xf numFmtId="0" fontId="20" fillId="2" borderId="0" xfId="0" applyFont="1" applyFill="1" applyAlignment="1">
      <alignment horizontal="right"/>
    </xf>
    <xf numFmtId="171" fontId="12" fillId="2" borderId="0" xfId="1" applyNumberFormat="1" applyFont="1" applyFill="1" applyBorder="1" applyAlignment="1">
      <alignment horizontal="center" wrapText="1"/>
    </xf>
    <xf numFmtId="171" fontId="7" fillId="2" borderId="0" xfId="1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 shrinkToFit="1"/>
    </xf>
    <xf numFmtId="0" fontId="3" fillId="2" borderId="2" xfId="0" applyFont="1" applyFill="1" applyBorder="1" applyAlignment="1">
      <alignment horizontal="center" vertical="center" wrapText="1"/>
    </xf>
    <xf numFmtId="167" fontId="3" fillId="2" borderId="2" xfId="1" applyNumberFormat="1" applyFont="1" applyFill="1" applyBorder="1" applyAlignment="1">
      <alignment horizontal="center" vertical="center" wrapText="1" shrinkToFit="1"/>
    </xf>
    <xf numFmtId="167" fontId="3" fillId="2" borderId="14" xfId="1" applyNumberFormat="1" applyFont="1" applyFill="1" applyBorder="1" applyAlignment="1">
      <alignment horizontal="center" vertical="center" wrapText="1"/>
    </xf>
    <xf numFmtId="167" fontId="3" fillId="2" borderId="15" xfId="1" applyNumberFormat="1" applyFont="1" applyFill="1" applyBorder="1" applyAlignment="1">
      <alignment horizontal="center" vertical="center" wrapText="1"/>
    </xf>
    <xf numFmtId="167" fontId="3" fillId="2" borderId="16" xfId="1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right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Admin\Downloads\KTBC_B2_02_14HTW_PKG137638186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8">
          <cell r="F18">
            <v>0</v>
          </cell>
        </row>
        <row r="19">
          <cell r="F19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2"/>
  <sheetViews>
    <sheetView topLeftCell="A7" zoomScale="85" zoomScaleNormal="85" workbookViewId="0">
      <selection activeCell="Q30" sqref="Q30"/>
    </sheetView>
  </sheetViews>
  <sheetFormatPr defaultColWidth="9" defaultRowHeight="13.8" x14ac:dyDescent="0.25"/>
  <cols>
    <col min="1" max="1" width="3" style="1" customWidth="1"/>
    <col min="2" max="2" width="33" style="1" customWidth="1"/>
    <col min="3" max="3" width="10.33203125" style="1" customWidth="1"/>
    <col min="4" max="4" width="10.109375" style="1" customWidth="1"/>
    <col min="5" max="6" width="9.44140625" style="1" customWidth="1"/>
    <col min="7" max="7" width="10.21875" style="1" customWidth="1"/>
    <col min="8" max="8" width="9.44140625" style="1" customWidth="1"/>
    <col min="9" max="9" width="10.33203125" style="1" customWidth="1"/>
    <col min="10" max="10" width="11" style="1" customWidth="1"/>
    <col min="11" max="16" width="8.44140625" style="1" hidden="1" customWidth="1"/>
    <col min="17" max="17" width="11.44140625" style="1" customWidth="1"/>
    <col min="18" max="18" width="7.88671875" style="1" customWidth="1"/>
    <col min="19" max="19" width="10.44140625" style="1" customWidth="1"/>
    <col min="20" max="20" width="9.44140625" style="1" customWidth="1"/>
    <col min="21" max="21" width="9" style="1" hidden="1" customWidth="1"/>
    <col min="22" max="22" width="8.44140625" style="1" hidden="1" customWidth="1"/>
    <col min="23" max="23" width="7.88671875" style="1" hidden="1" customWidth="1"/>
    <col min="24" max="24" width="8.44140625" style="1" hidden="1" customWidth="1"/>
    <col min="25" max="25" width="9.44140625" style="53" customWidth="1"/>
    <col min="26" max="26" width="9.88671875" style="53" customWidth="1"/>
    <col min="27" max="27" width="9" style="1"/>
    <col min="28" max="28" width="14.44140625" style="1" bestFit="1" customWidth="1"/>
    <col min="29" max="16384" width="9" style="1"/>
  </cols>
  <sheetData>
    <row r="1" spans="1:28" ht="14.4" x14ac:dyDescent="0.3">
      <c r="Y1" s="72" t="s">
        <v>57</v>
      </c>
      <c r="Z1" s="72"/>
    </row>
    <row r="2" spans="1:28" ht="17.399999999999999" x14ac:dyDescent="0.3">
      <c r="A2" s="73" t="s">
        <v>96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</row>
    <row r="3" spans="1:28" ht="21" x14ac:dyDescent="0.4">
      <c r="A3" s="74" t="s">
        <v>112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</row>
    <row r="4" spans="1:28" ht="21" x14ac:dyDescent="0.4">
      <c r="A4" s="27"/>
      <c r="B4" s="27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9"/>
      <c r="S4" s="29"/>
      <c r="T4" s="29"/>
      <c r="U4" s="29"/>
      <c r="V4" s="29"/>
      <c r="W4" s="75" t="s">
        <v>0</v>
      </c>
      <c r="X4" s="75"/>
      <c r="Y4" s="76"/>
      <c r="Z4" s="76"/>
    </row>
    <row r="5" spans="1:28" s="43" customFormat="1" ht="19.95" customHeight="1" x14ac:dyDescent="0.3">
      <c r="A5" s="77" t="s">
        <v>1</v>
      </c>
      <c r="B5" s="77" t="s">
        <v>2</v>
      </c>
      <c r="C5" s="65" t="s">
        <v>3</v>
      </c>
      <c r="D5" s="66"/>
      <c r="E5" s="66"/>
      <c r="F5" s="66"/>
      <c r="G5" s="66"/>
      <c r="H5" s="66"/>
      <c r="I5" s="66"/>
      <c r="J5" s="67"/>
      <c r="K5" s="68" t="s">
        <v>97</v>
      </c>
      <c r="L5" s="65" t="s">
        <v>98</v>
      </c>
      <c r="M5" s="66"/>
      <c r="N5" s="66"/>
      <c r="O5" s="66"/>
      <c r="P5" s="67"/>
      <c r="Q5" s="85" t="s">
        <v>99</v>
      </c>
      <c r="R5" s="91"/>
      <c r="S5" s="91"/>
      <c r="T5" s="91"/>
      <c r="U5" s="91"/>
      <c r="V5" s="91"/>
      <c r="W5" s="91"/>
      <c r="X5" s="86"/>
      <c r="Y5" s="71" t="s">
        <v>4</v>
      </c>
      <c r="Z5" s="71"/>
    </row>
    <row r="6" spans="1:28" s="43" customFormat="1" ht="23.25" customHeight="1" x14ac:dyDescent="0.3">
      <c r="A6" s="78"/>
      <c r="B6" s="78"/>
      <c r="C6" s="65" t="s">
        <v>5</v>
      </c>
      <c r="D6" s="66"/>
      <c r="E6" s="66"/>
      <c r="F6" s="67"/>
      <c r="G6" s="65" t="s">
        <v>6</v>
      </c>
      <c r="H6" s="66"/>
      <c r="I6" s="66"/>
      <c r="J6" s="67"/>
      <c r="K6" s="69"/>
      <c r="L6" s="68" t="s">
        <v>58</v>
      </c>
      <c r="M6" s="68" t="s">
        <v>100</v>
      </c>
      <c r="N6" s="68" t="s">
        <v>101</v>
      </c>
      <c r="O6" s="68" t="s">
        <v>102</v>
      </c>
      <c r="P6" s="68" t="s">
        <v>103</v>
      </c>
      <c r="Q6" s="87"/>
      <c r="R6" s="92"/>
      <c r="S6" s="92"/>
      <c r="T6" s="92"/>
      <c r="U6" s="92"/>
      <c r="V6" s="92"/>
      <c r="W6" s="92"/>
      <c r="X6" s="88"/>
      <c r="Y6" s="71"/>
      <c r="Z6" s="71"/>
    </row>
    <row r="7" spans="1:28" s="43" customFormat="1" ht="19.95" customHeight="1" x14ac:dyDescent="0.3">
      <c r="A7" s="78"/>
      <c r="B7" s="78"/>
      <c r="C7" s="68" t="s">
        <v>10</v>
      </c>
      <c r="D7" s="65" t="s">
        <v>11</v>
      </c>
      <c r="E7" s="66"/>
      <c r="F7" s="67"/>
      <c r="G7" s="68" t="s">
        <v>10</v>
      </c>
      <c r="H7" s="65" t="s">
        <v>11</v>
      </c>
      <c r="I7" s="66"/>
      <c r="J7" s="67"/>
      <c r="K7" s="69"/>
      <c r="L7" s="69"/>
      <c r="M7" s="69"/>
      <c r="N7" s="69"/>
      <c r="O7" s="69"/>
      <c r="P7" s="69"/>
      <c r="Q7" s="80" t="s">
        <v>7</v>
      </c>
      <c r="R7" s="65" t="s">
        <v>11</v>
      </c>
      <c r="S7" s="66"/>
      <c r="T7" s="67"/>
      <c r="U7" s="85" t="s">
        <v>105</v>
      </c>
      <c r="V7" s="86"/>
      <c r="W7" s="85" t="s">
        <v>106</v>
      </c>
      <c r="X7" s="86"/>
      <c r="Y7" s="71"/>
      <c r="Z7" s="71"/>
    </row>
    <row r="8" spans="1:28" s="43" customFormat="1" ht="15" customHeight="1" x14ac:dyDescent="0.3">
      <c r="A8" s="78"/>
      <c r="B8" s="78"/>
      <c r="C8" s="69"/>
      <c r="D8" s="68" t="s">
        <v>12</v>
      </c>
      <c r="E8" s="68" t="s">
        <v>13</v>
      </c>
      <c r="F8" s="68" t="s">
        <v>14</v>
      </c>
      <c r="G8" s="69"/>
      <c r="H8" s="68" t="s">
        <v>12</v>
      </c>
      <c r="I8" s="68" t="s">
        <v>13</v>
      </c>
      <c r="J8" s="68" t="s">
        <v>14</v>
      </c>
      <c r="K8" s="69"/>
      <c r="L8" s="69"/>
      <c r="M8" s="69"/>
      <c r="N8" s="69"/>
      <c r="O8" s="69"/>
      <c r="P8" s="69"/>
      <c r="Q8" s="81"/>
      <c r="R8" s="68" t="s">
        <v>12</v>
      </c>
      <c r="S8" s="68" t="s">
        <v>13</v>
      </c>
      <c r="T8" s="89" t="s">
        <v>109</v>
      </c>
      <c r="U8" s="87"/>
      <c r="V8" s="88"/>
      <c r="W8" s="87"/>
      <c r="X8" s="88"/>
      <c r="Y8" s="71"/>
      <c r="Z8" s="71"/>
    </row>
    <row r="9" spans="1:28" s="43" customFormat="1" ht="54" customHeight="1" x14ac:dyDescent="0.3">
      <c r="A9" s="79"/>
      <c r="B9" s="79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82"/>
      <c r="R9" s="70"/>
      <c r="S9" s="70"/>
      <c r="T9" s="90"/>
      <c r="U9" s="42" t="s">
        <v>107</v>
      </c>
      <c r="V9" s="44" t="s">
        <v>104</v>
      </c>
      <c r="W9" s="42" t="s">
        <v>107</v>
      </c>
      <c r="X9" s="44" t="s">
        <v>104</v>
      </c>
      <c r="Y9" s="51" t="s">
        <v>8</v>
      </c>
      <c r="Z9" s="51" t="s">
        <v>9</v>
      </c>
    </row>
    <row r="10" spans="1:28" s="46" customFormat="1" ht="17.399999999999999" customHeight="1" x14ac:dyDescent="0.3">
      <c r="A10" s="30"/>
      <c r="B10" s="30" t="s">
        <v>17</v>
      </c>
      <c r="C10" s="57">
        <f t="shared" ref="C10:Q10" si="0">C11+C43+C46</f>
        <v>244757.5</v>
      </c>
      <c r="D10" s="57">
        <f t="shared" si="0"/>
        <v>0</v>
      </c>
      <c r="E10" s="57">
        <f t="shared" si="0"/>
        <v>11352.5</v>
      </c>
      <c r="F10" s="57">
        <f t="shared" si="0"/>
        <v>233405</v>
      </c>
      <c r="G10" s="57">
        <f t="shared" si="0"/>
        <v>244757.5</v>
      </c>
      <c r="H10" s="57">
        <f t="shared" si="0"/>
        <v>0</v>
      </c>
      <c r="I10" s="57">
        <f t="shared" si="0"/>
        <v>11352.5</v>
      </c>
      <c r="J10" s="57">
        <f t="shared" si="0"/>
        <v>233405</v>
      </c>
      <c r="K10" s="57">
        <f t="shared" si="0"/>
        <v>32187.305</v>
      </c>
      <c r="L10" s="57">
        <f t="shared" si="0"/>
        <v>6120.8640000000005</v>
      </c>
      <c r="M10" s="57">
        <f t="shared" si="0"/>
        <v>4292.8040000000001</v>
      </c>
      <c r="N10" s="57">
        <f t="shared" si="0"/>
        <v>9862.7000000000007</v>
      </c>
      <c r="O10" s="57">
        <f t="shared" si="0"/>
        <v>6132.6120000000001</v>
      </c>
      <c r="P10" s="57">
        <f t="shared" si="0"/>
        <v>5778.3250000000007</v>
      </c>
      <c r="Q10" s="57">
        <f t="shared" si="0"/>
        <v>188768.46799999999</v>
      </c>
      <c r="R10" s="57">
        <f t="shared" ref="R10:T10" si="1">R11+R43+R46</f>
        <v>60.872</v>
      </c>
      <c r="S10" s="57">
        <f t="shared" si="1"/>
        <v>20608.096000000001</v>
      </c>
      <c r="T10" s="57">
        <f t="shared" si="1"/>
        <v>168099.58</v>
      </c>
      <c r="U10" s="57">
        <f>U11+U43+U46</f>
        <v>132119.46799999999</v>
      </c>
      <c r="V10" s="57">
        <f>V11+V43+V46</f>
        <v>112320.58</v>
      </c>
      <c r="W10" s="57">
        <f>W11+W43+W46</f>
        <v>56649</v>
      </c>
      <c r="X10" s="57">
        <f>X11+X43+X46</f>
        <v>55779</v>
      </c>
      <c r="Y10" s="57">
        <f t="shared" ref="Y10:Y15" si="2">Q10/C10*100</f>
        <v>77.124691991052359</v>
      </c>
      <c r="Z10" s="57">
        <f t="shared" ref="Z10:Z15" si="3">Q10/G10*100</f>
        <v>77.124691991052359</v>
      </c>
    </row>
    <row r="11" spans="1:28" s="46" customFormat="1" ht="18" customHeight="1" x14ac:dyDescent="0.3">
      <c r="A11" s="31" t="s">
        <v>15</v>
      </c>
      <c r="B11" s="32" t="s">
        <v>18</v>
      </c>
      <c r="C11" s="58">
        <f t="shared" ref="C11:Q11" si="4">C12+C33+C39+C42</f>
        <v>14009.5</v>
      </c>
      <c r="D11" s="58">
        <f t="shared" si="4"/>
        <v>0</v>
      </c>
      <c r="E11" s="58">
        <f t="shared" si="4"/>
        <v>11352.5</v>
      </c>
      <c r="F11" s="58">
        <f t="shared" si="4"/>
        <v>2657</v>
      </c>
      <c r="G11" s="58">
        <f t="shared" si="4"/>
        <v>14009.5</v>
      </c>
      <c r="H11" s="58">
        <f t="shared" si="4"/>
        <v>0</v>
      </c>
      <c r="I11" s="58">
        <f t="shared" si="4"/>
        <v>11352.5</v>
      </c>
      <c r="J11" s="58">
        <f t="shared" si="4"/>
        <v>2657</v>
      </c>
      <c r="K11" s="58">
        <f t="shared" si="4"/>
        <v>1872.5320000000002</v>
      </c>
      <c r="L11" s="58">
        <f t="shared" si="4"/>
        <v>426.10399999999998</v>
      </c>
      <c r="M11" s="58">
        <f t="shared" si="4"/>
        <v>557.50699999999995</v>
      </c>
      <c r="N11" s="58">
        <f t="shared" si="4"/>
        <v>115.20699999999999</v>
      </c>
      <c r="O11" s="58">
        <f t="shared" si="4"/>
        <v>687.38900000000012</v>
      </c>
      <c r="P11" s="58">
        <f t="shared" si="4"/>
        <v>86.324999999999989</v>
      </c>
      <c r="Q11" s="58">
        <f t="shared" si="4"/>
        <v>23319.938000000002</v>
      </c>
      <c r="R11" s="58">
        <f t="shared" ref="R11:T11" si="5">R12+R33+R39+R42</f>
        <v>60.872</v>
      </c>
      <c r="S11" s="58">
        <f t="shared" si="5"/>
        <v>20608.096000000001</v>
      </c>
      <c r="T11" s="58">
        <f t="shared" si="5"/>
        <v>2651.047</v>
      </c>
      <c r="U11" s="58">
        <f>U12+U33+U39+U42</f>
        <v>22000.938000000002</v>
      </c>
      <c r="V11" s="58">
        <f>V12+V33+V39+V42</f>
        <v>2202.047</v>
      </c>
      <c r="W11" s="58">
        <f>W12+W33+W39+W42</f>
        <v>1319</v>
      </c>
      <c r="X11" s="58">
        <f>X12+X33+X39+X42</f>
        <v>449</v>
      </c>
      <c r="Y11" s="58">
        <f t="shared" si="2"/>
        <v>166.45803204968058</v>
      </c>
      <c r="Z11" s="58">
        <f t="shared" si="3"/>
        <v>166.45803204968058</v>
      </c>
      <c r="AB11" s="47"/>
    </row>
    <row r="12" spans="1:28" s="46" customFormat="1" ht="18" customHeight="1" x14ac:dyDescent="0.3">
      <c r="A12" s="33" t="s">
        <v>19</v>
      </c>
      <c r="B12" s="34" t="s">
        <v>20</v>
      </c>
      <c r="C12" s="58">
        <f t="shared" ref="C12:Q12" si="6">C13+C17+C18+C21+C22+C23+C27</f>
        <v>11004.5</v>
      </c>
      <c r="D12" s="58">
        <f t="shared" si="6"/>
        <v>0</v>
      </c>
      <c r="E12" s="58">
        <f t="shared" si="6"/>
        <v>9801</v>
      </c>
      <c r="F12" s="58">
        <f t="shared" si="6"/>
        <v>1203.5</v>
      </c>
      <c r="G12" s="58">
        <f t="shared" si="6"/>
        <v>11004.5</v>
      </c>
      <c r="H12" s="58">
        <f t="shared" si="6"/>
        <v>0</v>
      </c>
      <c r="I12" s="58">
        <f t="shared" si="6"/>
        <v>9801</v>
      </c>
      <c r="J12" s="58">
        <f t="shared" si="6"/>
        <v>1203.5</v>
      </c>
      <c r="K12" s="58">
        <f t="shared" si="6"/>
        <v>1026.556</v>
      </c>
      <c r="L12" s="58">
        <f t="shared" si="6"/>
        <v>98.158999999999992</v>
      </c>
      <c r="M12" s="58">
        <f t="shared" si="6"/>
        <v>387.08799999999997</v>
      </c>
      <c r="N12" s="58">
        <f t="shared" si="6"/>
        <v>57.712000000000003</v>
      </c>
      <c r="O12" s="58">
        <f t="shared" si="6"/>
        <v>442.33700000000005</v>
      </c>
      <c r="P12" s="58">
        <f t="shared" si="6"/>
        <v>41.26</v>
      </c>
      <c r="Q12" s="58">
        <f t="shared" si="6"/>
        <v>19592.964</v>
      </c>
      <c r="R12" s="58">
        <f t="shared" ref="R12:T12" si="7">R13+R17+R18+R21+R22+R23+R27</f>
        <v>16.842000000000002</v>
      </c>
      <c r="S12" s="58">
        <f t="shared" si="7"/>
        <v>18111.396000000001</v>
      </c>
      <c r="T12" s="58">
        <f t="shared" si="7"/>
        <v>1464.8030000000001</v>
      </c>
      <c r="U12" s="58">
        <f>U13+U17+U18+U21+U22+U23+U27</f>
        <v>18765.964</v>
      </c>
      <c r="V12" s="58">
        <f>V13+V17+V18+V21+V22+V23+V27</f>
        <v>1320.8030000000001</v>
      </c>
      <c r="W12" s="58">
        <f>W13+W17+W18+W21+W22+W23+W27</f>
        <v>827</v>
      </c>
      <c r="X12" s="58">
        <f>X13+X17+X18+X21+X22+X23+X27</f>
        <v>144</v>
      </c>
      <c r="Y12" s="58">
        <f t="shared" si="2"/>
        <v>178.04501794720343</v>
      </c>
      <c r="Z12" s="58">
        <f t="shared" si="3"/>
        <v>178.04501794720343</v>
      </c>
      <c r="AA12" s="47"/>
      <c r="AB12" s="47"/>
    </row>
    <row r="13" spans="1:28" s="46" customFormat="1" ht="18" customHeight="1" x14ac:dyDescent="0.3">
      <c r="A13" s="33">
        <v>1</v>
      </c>
      <c r="B13" s="34" t="s">
        <v>21</v>
      </c>
      <c r="C13" s="58">
        <f>SUM(C14:C16)</f>
        <v>6257</v>
      </c>
      <c r="D13" s="58">
        <f t="shared" ref="D13:P13" si="8">SUM(D14:D16)</f>
        <v>0</v>
      </c>
      <c r="E13" s="58">
        <f t="shared" si="8"/>
        <v>6151.5</v>
      </c>
      <c r="F13" s="58">
        <f t="shared" si="8"/>
        <v>105.5</v>
      </c>
      <c r="G13" s="58">
        <f t="shared" si="8"/>
        <v>6257</v>
      </c>
      <c r="H13" s="58">
        <f t="shared" si="8"/>
        <v>0</v>
      </c>
      <c r="I13" s="58">
        <f t="shared" si="8"/>
        <v>6151.5</v>
      </c>
      <c r="J13" s="58">
        <f t="shared" si="8"/>
        <v>105.5</v>
      </c>
      <c r="K13" s="58">
        <f t="shared" si="8"/>
        <v>61.887</v>
      </c>
      <c r="L13" s="58">
        <f t="shared" si="8"/>
        <v>16.838999999999999</v>
      </c>
      <c r="M13" s="58">
        <f t="shared" si="8"/>
        <v>4.0609999999999999</v>
      </c>
      <c r="N13" s="58">
        <f t="shared" si="8"/>
        <v>9.1</v>
      </c>
      <c r="O13" s="58">
        <f t="shared" si="8"/>
        <v>29.187000000000001</v>
      </c>
      <c r="P13" s="58">
        <f t="shared" si="8"/>
        <v>2.7</v>
      </c>
      <c r="Q13" s="58">
        <f>SUM(Q14:Q16)</f>
        <v>15086.02</v>
      </c>
      <c r="R13" s="58">
        <f t="shared" ref="R13:T13" si="9">SUM(R14:R16)</f>
        <v>0</v>
      </c>
      <c r="S13" s="58">
        <f t="shared" si="9"/>
        <v>14897.84</v>
      </c>
      <c r="T13" s="58">
        <f t="shared" si="9"/>
        <v>188.18</v>
      </c>
      <c r="U13" s="58">
        <f>SUM(U14:U16)</f>
        <v>14606.02</v>
      </c>
      <c r="V13" s="58">
        <f t="shared" ref="V13:X13" si="10">SUM(V14:V16)</f>
        <v>173.18</v>
      </c>
      <c r="W13" s="58">
        <f t="shared" si="10"/>
        <v>480</v>
      </c>
      <c r="X13" s="58">
        <f t="shared" si="10"/>
        <v>15</v>
      </c>
      <c r="Y13" s="58">
        <f t="shared" si="2"/>
        <v>241.10628096531883</v>
      </c>
      <c r="Z13" s="58">
        <f t="shared" si="3"/>
        <v>241.10628096531883</v>
      </c>
    </row>
    <row r="14" spans="1:28" s="46" customFormat="1" ht="18" customHeight="1" x14ac:dyDescent="0.3">
      <c r="A14" s="35"/>
      <c r="B14" s="36" t="s">
        <v>22</v>
      </c>
      <c r="C14" s="59">
        <f>D14+E14+F14</f>
        <v>1511</v>
      </c>
      <c r="D14" s="59"/>
      <c r="E14" s="59">
        <v>1405.5</v>
      </c>
      <c r="F14" s="59">
        <v>105.5</v>
      </c>
      <c r="G14" s="59">
        <f>H14+I14+J14</f>
        <v>1511</v>
      </c>
      <c r="H14" s="59"/>
      <c r="I14" s="59">
        <v>1405.5</v>
      </c>
      <c r="J14" s="59">
        <v>105.5</v>
      </c>
      <c r="K14" s="59">
        <f>SUM(L14:P14)</f>
        <v>60.837000000000003</v>
      </c>
      <c r="L14" s="59">
        <v>16.838999999999999</v>
      </c>
      <c r="M14" s="59">
        <v>4.0609999999999999</v>
      </c>
      <c r="N14" s="59">
        <v>9.1</v>
      </c>
      <c r="O14" s="59">
        <v>28.137</v>
      </c>
      <c r="P14" s="59">
        <v>2.7</v>
      </c>
      <c r="Q14" s="60">
        <f>U14+W14</f>
        <v>9867.67</v>
      </c>
      <c r="R14" s="60"/>
      <c r="S14" s="60">
        <f>Q14-R14-T14</f>
        <v>9682.09</v>
      </c>
      <c r="T14" s="60">
        <f>V14+X14</f>
        <v>185.58</v>
      </c>
      <c r="U14" s="59">
        <f>100+9517.67</f>
        <v>9617.67</v>
      </c>
      <c r="V14" s="59">
        <f>170.58</f>
        <v>170.58</v>
      </c>
      <c r="W14" s="59">
        <v>250</v>
      </c>
      <c r="X14" s="59">
        <v>15</v>
      </c>
      <c r="Y14" s="59">
        <f t="shared" si="2"/>
        <v>653.05559232296503</v>
      </c>
      <c r="Z14" s="59">
        <f t="shared" si="3"/>
        <v>653.05559232296503</v>
      </c>
    </row>
    <row r="15" spans="1:28" s="46" customFormat="1" ht="18" customHeight="1" x14ac:dyDescent="0.3">
      <c r="A15" s="35"/>
      <c r="B15" s="36" t="s">
        <v>23</v>
      </c>
      <c r="C15" s="59">
        <f t="shared" ref="C15:C45" si="11">D15+E15+F15</f>
        <v>4746</v>
      </c>
      <c r="D15" s="59"/>
      <c r="E15" s="59">
        <v>4746</v>
      </c>
      <c r="F15" s="59"/>
      <c r="G15" s="59">
        <f>H15+I15+J15</f>
        <v>4746</v>
      </c>
      <c r="H15" s="59"/>
      <c r="I15" s="59">
        <v>4746</v>
      </c>
      <c r="J15" s="59"/>
      <c r="K15" s="59">
        <f t="shared" ref="K15:K32" si="12">SUM(L15:P15)</f>
        <v>0</v>
      </c>
      <c r="L15" s="59"/>
      <c r="M15" s="59"/>
      <c r="N15" s="59"/>
      <c r="O15" s="59"/>
      <c r="P15" s="59"/>
      <c r="Q15" s="60">
        <f>U15+W15</f>
        <v>5214</v>
      </c>
      <c r="R15" s="60"/>
      <c r="S15" s="60">
        <f t="shared" ref="S15" si="13">Q15-R15-T15</f>
        <v>5214</v>
      </c>
      <c r="T15" s="60">
        <f t="shared" ref="T15:T17" si="14">V15+X15</f>
        <v>0</v>
      </c>
      <c r="U15" s="59">
        <v>4984</v>
      </c>
      <c r="V15" s="59"/>
      <c r="W15" s="59">
        <v>230</v>
      </c>
      <c r="X15" s="59"/>
      <c r="Y15" s="59">
        <f t="shared" si="2"/>
        <v>109.86093552465235</v>
      </c>
      <c r="Z15" s="59">
        <f t="shared" si="3"/>
        <v>109.86093552465235</v>
      </c>
    </row>
    <row r="16" spans="1:28" s="46" customFormat="1" ht="18" customHeight="1" x14ac:dyDescent="0.3">
      <c r="A16" s="35"/>
      <c r="B16" s="36" t="s">
        <v>24</v>
      </c>
      <c r="C16" s="59">
        <f t="shared" si="11"/>
        <v>0</v>
      </c>
      <c r="D16" s="59"/>
      <c r="E16" s="59"/>
      <c r="F16" s="59"/>
      <c r="G16" s="59">
        <f>H16+I16+J16</f>
        <v>0</v>
      </c>
      <c r="H16" s="59"/>
      <c r="I16" s="59"/>
      <c r="J16" s="59"/>
      <c r="K16" s="59">
        <f t="shared" si="12"/>
        <v>1.05</v>
      </c>
      <c r="L16" s="59"/>
      <c r="M16" s="59"/>
      <c r="N16" s="59"/>
      <c r="O16" s="59">
        <v>1.05</v>
      </c>
      <c r="P16" s="59"/>
      <c r="Q16" s="60">
        <f>U16+W16</f>
        <v>4.3499999999999996</v>
      </c>
      <c r="R16" s="60"/>
      <c r="S16" s="60">
        <f>Q16-R16-T16</f>
        <v>1.7499999999999996</v>
      </c>
      <c r="T16" s="60">
        <f t="shared" si="14"/>
        <v>2.6</v>
      </c>
      <c r="U16" s="59">
        <f>4.35</f>
        <v>4.3499999999999996</v>
      </c>
      <c r="V16" s="59">
        <v>2.6</v>
      </c>
      <c r="W16" s="59"/>
      <c r="X16" s="59"/>
      <c r="Y16" s="59"/>
      <c r="Z16" s="59"/>
    </row>
    <row r="17" spans="1:28" s="46" customFormat="1" ht="18" customHeight="1" x14ac:dyDescent="0.3">
      <c r="A17" s="33">
        <v>2</v>
      </c>
      <c r="B17" s="34" t="s">
        <v>25</v>
      </c>
      <c r="C17" s="58">
        <f t="shared" si="11"/>
        <v>547</v>
      </c>
      <c r="D17" s="58"/>
      <c r="E17" s="58">
        <v>273.5</v>
      </c>
      <c r="F17" s="58">
        <v>273.5</v>
      </c>
      <c r="G17" s="58">
        <f>H17+I17+J17</f>
        <v>547</v>
      </c>
      <c r="H17" s="58"/>
      <c r="I17" s="58">
        <v>273.5</v>
      </c>
      <c r="J17" s="58">
        <v>273.5</v>
      </c>
      <c r="K17" s="59">
        <f t="shared" si="12"/>
        <v>139.35499999999999</v>
      </c>
      <c r="L17" s="58">
        <v>46.939</v>
      </c>
      <c r="M17" s="58">
        <v>12.74</v>
      </c>
      <c r="N17" s="58">
        <v>17.361999999999998</v>
      </c>
      <c r="O17" s="58">
        <v>39.473999999999997</v>
      </c>
      <c r="P17" s="58">
        <v>22.84</v>
      </c>
      <c r="Q17" s="61">
        <f>U17+W17</f>
        <v>416.5</v>
      </c>
      <c r="R17" s="61"/>
      <c r="S17" s="60">
        <f>Q17-R17-T17</f>
        <v>248.11699999999999</v>
      </c>
      <c r="T17" s="61">
        <f t="shared" si="14"/>
        <v>168.38300000000001</v>
      </c>
      <c r="U17" s="58">
        <v>396.5</v>
      </c>
      <c r="V17" s="58">
        <v>153.38300000000001</v>
      </c>
      <c r="W17" s="58">
        <v>20</v>
      </c>
      <c r="X17" s="58">
        <v>15</v>
      </c>
      <c r="Y17" s="58">
        <f>Q17/C17*100</f>
        <v>76.142595978062161</v>
      </c>
      <c r="Z17" s="58">
        <f>Q17/G17*100</f>
        <v>76.142595978062161</v>
      </c>
    </row>
    <row r="18" spans="1:28" s="46" customFormat="1" ht="29.7" customHeight="1" x14ac:dyDescent="0.3">
      <c r="A18" s="33">
        <v>3</v>
      </c>
      <c r="B18" s="37" t="s">
        <v>26</v>
      </c>
      <c r="C18" s="58">
        <f>SUM(C19:C20)</f>
        <v>28</v>
      </c>
      <c r="D18" s="58">
        <f t="shared" ref="D18:P18" si="15">SUM(D19:D20)</f>
        <v>0</v>
      </c>
      <c r="E18" s="58">
        <f t="shared" si="15"/>
        <v>0</v>
      </c>
      <c r="F18" s="58">
        <f t="shared" si="15"/>
        <v>28</v>
      </c>
      <c r="G18" s="58">
        <f t="shared" si="15"/>
        <v>28</v>
      </c>
      <c r="H18" s="58">
        <f t="shared" si="15"/>
        <v>0</v>
      </c>
      <c r="I18" s="58">
        <f t="shared" si="15"/>
        <v>0</v>
      </c>
      <c r="J18" s="58">
        <f t="shared" si="15"/>
        <v>28</v>
      </c>
      <c r="K18" s="58">
        <f t="shared" si="15"/>
        <v>11.902000000000001</v>
      </c>
      <c r="L18" s="58">
        <f t="shared" si="15"/>
        <v>0.44500000000000001</v>
      </c>
      <c r="M18" s="58">
        <f t="shared" si="15"/>
        <v>3.177</v>
      </c>
      <c r="N18" s="58">
        <f t="shared" si="15"/>
        <v>1.25</v>
      </c>
      <c r="O18" s="58">
        <f t="shared" si="15"/>
        <v>4.58</v>
      </c>
      <c r="P18" s="58">
        <f t="shared" si="15"/>
        <v>2.4500000000000002</v>
      </c>
      <c r="Q18" s="58">
        <f>SUM(Q19:Q20)</f>
        <v>37.36</v>
      </c>
      <c r="R18" s="58">
        <f t="shared" ref="R18:T18" si="16">SUM(R19:R20)</f>
        <v>0</v>
      </c>
      <c r="S18" s="58">
        <f t="shared" si="16"/>
        <v>17.082999999999998</v>
      </c>
      <c r="T18" s="58">
        <f t="shared" si="16"/>
        <v>20.277000000000001</v>
      </c>
      <c r="U18" s="58">
        <f t="shared" ref="U18:X18" si="17">SUM(U19:U20)</f>
        <v>35.36</v>
      </c>
      <c r="V18" s="58">
        <f>SUM(V19:V20)</f>
        <v>18.277000000000001</v>
      </c>
      <c r="W18" s="58">
        <f t="shared" si="17"/>
        <v>2</v>
      </c>
      <c r="X18" s="58">
        <f t="shared" si="17"/>
        <v>2</v>
      </c>
      <c r="Y18" s="58">
        <f>Q18/C18*100</f>
        <v>133.42857142857142</v>
      </c>
      <c r="Z18" s="58">
        <f>Q18/G18*100</f>
        <v>133.42857142857142</v>
      </c>
    </row>
    <row r="19" spans="1:28" s="46" customFormat="1" ht="18" customHeight="1" x14ac:dyDescent="0.3">
      <c r="A19" s="35"/>
      <c r="B19" s="36" t="s">
        <v>27</v>
      </c>
      <c r="C19" s="59">
        <f t="shared" si="11"/>
        <v>28</v>
      </c>
      <c r="D19" s="59"/>
      <c r="E19" s="59"/>
      <c r="F19" s="59">
        <v>28</v>
      </c>
      <c r="G19" s="59">
        <f>H19+I19+J19</f>
        <v>28</v>
      </c>
      <c r="H19" s="59"/>
      <c r="I19" s="59"/>
      <c r="J19" s="59">
        <v>28</v>
      </c>
      <c r="K19" s="59">
        <f t="shared" si="12"/>
        <v>11.902000000000001</v>
      </c>
      <c r="L19" s="59">
        <v>0.44500000000000001</v>
      </c>
      <c r="M19" s="59">
        <v>3.177</v>
      </c>
      <c r="N19" s="59">
        <v>1.25</v>
      </c>
      <c r="O19" s="59">
        <v>4.58</v>
      </c>
      <c r="P19" s="59">
        <v>2.4500000000000002</v>
      </c>
      <c r="Q19" s="60">
        <f>U19+W19</f>
        <v>16.46</v>
      </c>
      <c r="R19" s="60"/>
      <c r="S19" s="60">
        <f t="shared" ref="S19:S20" si="18">Q19-R19-T19</f>
        <v>0.37000000000000099</v>
      </c>
      <c r="T19" s="60">
        <f t="shared" ref="T19:T22" si="19">V19+X19</f>
        <v>16.09</v>
      </c>
      <c r="U19" s="59">
        <v>14.46</v>
      </c>
      <c r="V19" s="59">
        <v>14.09</v>
      </c>
      <c r="W19" s="59">
        <v>2</v>
      </c>
      <c r="X19" s="59">
        <v>2</v>
      </c>
      <c r="Y19" s="59">
        <f>Q19/C19*100</f>
        <v>58.785714285714285</v>
      </c>
      <c r="Z19" s="59">
        <f>Q19/G19*100</f>
        <v>58.785714285714285</v>
      </c>
    </row>
    <row r="20" spans="1:28" s="46" customFormat="1" ht="18" customHeight="1" x14ac:dyDescent="0.3">
      <c r="A20" s="35"/>
      <c r="B20" s="36" t="s">
        <v>28</v>
      </c>
      <c r="C20" s="59">
        <f t="shared" si="11"/>
        <v>0</v>
      </c>
      <c r="D20" s="59"/>
      <c r="E20" s="59"/>
      <c r="F20" s="59"/>
      <c r="G20" s="59">
        <f>H20+I20+J20</f>
        <v>0</v>
      </c>
      <c r="H20" s="59"/>
      <c r="I20" s="59"/>
      <c r="J20" s="59"/>
      <c r="K20" s="59">
        <f t="shared" si="12"/>
        <v>0</v>
      </c>
      <c r="L20" s="59"/>
      <c r="M20" s="59"/>
      <c r="N20" s="59"/>
      <c r="O20" s="59"/>
      <c r="P20" s="59"/>
      <c r="Q20" s="60">
        <f>U20+W20</f>
        <v>20.9</v>
      </c>
      <c r="R20" s="60"/>
      <c r="S20" s="60">
        <f t="shared" si="18"/>
        <v>16.712999999999997</v>
      </c>
      <c r="T20" s="60">
        <f t="shared" si="19"/>
        <v>4.1870000000000003</v>
      </c>
      <c r="U20" s="59">
        <v>20.9</v>
      </c>
      <c r="V20" s="59">
        <v>4.1870000000000003</v>
      </c>
      <c r="W20" s="59"/>
      <c r="X20" s="59"/>
      <c r="Y20" s="59"/>
      <c r="Z20" s="59"/>
    </row>
    <row r="21" spans="1:28" s="46" customFormat="1" ht="18" customHeight="1" x14ac:dyDescent="0.3">
      <c r="A21" s="33">
        <v>4</v>
      </c>
      <c r="B21" s="34" t="s">
        <v>29</v>
      </c>
      <c r="C21" s="59">
        <f t="shared" si="11"/>
        <v>0</v>
      </c>
      <c r="D21" s="58"/>
      <c r="E21" s="58"/>
      <c r="F21" s="58"/>
      <c r="G21" s="59">
        <f>H21+I21+J21</f>
        <v>0</v>
      </c>
      <c r="H21" s="58"/>
      <c r="I21" s="58"/>
      <c r="J21" s="58"/>
      <c r="K21" s="59">
        <f t="shared" si="12"/>
        <v>8</v>
      </c>
      <c r="L21" s="58"/>
      <c r="M21" s="58"/>
      <c r="N21" s="58">
        <v>8</v>
      </c>
      <c r="O21" s="58"/>
      <c r="P21" s="58"/>
      <c r="Q21" s="63">
        <f>U21+W21</f>
        <v>-43.3</v>
      </c>
      <c r="R21" s="63"/>
      <c r="S21" s="63">
        <f>Q21-R21-T21</f>
        <v>-0.65999999999999659</v>
      </c>
      <c r="T21" s="63">
        <f t="shared" si="19"/>
        <v>-42.64</v>
      </c>
      <c r="U21" s="32">
        <f>-43.3</f>
        <v>-43.3</v>
      </c>
      <c r="V21" s="32">
        <v>-42.64</v>
      </c>
      <c r="W21" s="58"/>
      <c r="X21" s="58"/>
      <c r="Y21" s="58"/>
      <c r="Z21" s="58"/>
    </row>
    <row r="22" spans="1:28" s="46" customFormat="1" ht="18" customHeight="1" x14ac:dyDescent="0.3">
      <c r="A22" s="33">
        <v>5</v>
      </c>
      <c r="B22" s="34" t="s">
        <v>30</v>
      </c>
      <c r="C22" s="58">
        <f>D22+E22+F22</f>
        <v>148</v>
      </c>
      <c r="D22" s="58"/>
      <c r="E22" s="58">
        <v>118</v>
      </c>
      <c r="F22" s="58">
        <v>30</v>
      </c>
      <c r="G22" s="58">
        <f>H22+I22+J22</f>
        <v>148</v>
      </c>
      <c r="H22" s="58"/>
      <c r="I22" s="58">
        <v>118</v>
      </c>
      <c r="J22" s="58">
        <v>30</v>
      </c>
      <c r="K22" s="59">
        <f t="shared" si="12"/>
        <v>32.914000000000001</v>
      </c>
      <c r="L22" s="58"/>
      <c r="M22" s="58">
        <v>19.57</v>
      </c>
      <c r="N22" s="58"/>
      <c r="O22" s="58">
        <v>13.343999999999999</v>
      </c>
      <c r="P22" s="58"/>
      <c r="Q22" s="61">
        <f>U22+W22</f>
        <v>195.95599999999999</v>
      </c>
      <c r="R22" s="61"/>
      <c r="S22" s="60">
        <f>Q22-R22-T22</f>
        <v>154.76499999999999</v>
      </c>
      <c r="T22" s="60">
        <f t="shared" si="19"/>
        <v>41.191000000000003</v>
      </c>
      <c r="U22" s="58">
        <v>195.95599999999999</v>
      </c>
      <c r="V22" s="58">
        <f>39.191</f>
        <v>39.191000000000003</v>
      </c>
      <c r="W22" s="58"/>
      <c r="X22" s="58">
        <v>2</v>
      </c>
      <c r="Y22" s="58">
        <f t="shared" ref="Y22:Y31" si="20">Q22/C22*100</f>
        <v>132.4027027027027</v>
      </c>
      <c r="Z22" s="58">
        <f t="shared" ref="Z22:Z31" si="21">Q22/G22*100</f>
        <v>132.4027027027027</v>
      </c>
    </row>
    <row r="23" spans="1:28" s="46" customFormat="1" ht="18" customHeight="1" x14ac:dyDescent="0.3">
      <c r="A23" s="33">
        <v>6</v>
      </c>
      <c r="B23" s="34" t="s">
        <v>31</v>
      </c>
      <c r="C23" s="58">
        <f>SUM(C24:C25)</f>
        <v>1994</v>
      </c>
      <c r="D23" s="58">
        <f t="shared" ref="D23:P23" si="22">SUM(D24:D25)</f>
        <v>0</v>
      </c>
      <c r="E23" s="58">
        <f t="shared" si="22"/>
        <v>1878</v>
      </c>
      <c r="F23" s="58">
        <f t="shared" si="22"/>
        <v>116</v>
      </c>
      <c r="G23" s="58">
        <f t="shared" si="22"/>
        <v>1994</v>
      </c>
      <c r="H23" s="58">
        <f t="shared" si="22"/>
        <v>0</v>
      </c>
      <c r="I23" s="58">
        <f t="shared" si="22"/>
        <v>1878</v>
      </c>
      <c r="J23" s="58">
        <f t="shared" si="22"/>
        <v>116</v>
      </c>
      <c r="K23" s="58">
        <f t="shared" si="22"/>
        <v>54.52</v>
      </c>
      <c r="L23" s="58">
        <f t="shared" si="22"/>
        <v>13.696</v>
      </c>
      <c r="M23" s="58">
        <f t="shared" si="22"/>
        <v>6.47</v>
      </c>
      <c r="N23" s="58">
        <f t="shared" si="22"/>
        <v>11.8</v>
      </c>
      <c r="O23" s="58">
        <f t="shared" si="22"/>
        <v>14.654</v>
      </c>
      <c r="P23" s="58">
        <f t="shared" si="22"/>
        <v>7.9</v>
      </c>
      <c r="Q23" s="58">
        <f>SUM(Q24:Q26)</f>
        <v>779.32799999999997</v>
      </c>
      <c r="R23" s="58">
        <f t="shared" ref="R23:X23" si="23">SUM(R24:R26)</f>
        <v>16.600000000000001</v>
      </c>
      <c r="S23" s="58">
        <f t="shared" si="23"/>
        <v>665.19100000000003</v>
      </c>
      <c r="T23" s="58">
        <f t="shared" si="23"/>
        <v>97.537000000000006</v>
      </c>
      <c r="U23" s="58">
        <f t="shared" si="23"/>
        <v>717.32799999999997</v>
      </c>
      <c r="V23" s="58">
        <f t="shared" si="23"/>
        <v>87.537000000000006</v>
      </c>
      <c r="W23" s="58">
        <f t="shared" si="23"/>
        <v>62</v>
      </c>
      <c r="X23" s="58">
        <f t="shared" si="23"/>
        <v>10</v>
      </c>
      <c r="Y23" s="58">
        <f t="shared" si="20"/>
        <v>39.083650952858576</v>
      </c>
      <c r="Z23" s="58">
        <f t="shared" si="21"/>
        <v>39.083650952858576</v>
      </c>
    </row>
    <row r="24" spans="1:28" s="46" customFormat="1" ht="18" customHeight="1" x14ac:dyDescent="0.3">
      <c r="A24" s="35"/>
      <c r="B24" s="36" t="s">
        <v>32</v>
      </c>
      <c r="C24" s="59">
        <f t="shared" si="11"/>
        <v>145</v>
      </c>
      <c r="D24" s="59"/>
      <c r="E24" s="59">
        <v>29</v>
      </c>
      <c r="F24" s="59">
        <v>116</v>
      </c>
      <c r="G24" s="59">
        <f t="shared" ref="G24:G25" si="24">H24+I24+J24</f>
        <v>145</v>
      </c>
      <c r="H24" s="59"/>
      <c r="I24" s="59">
        <v>29</v>
      </c>
      <c r="J24" s="59">
        <v>116</v>
      </c>
      <c r="K24" s="59">
        <f t="shared" si="12"/>
        <v>54.52</v>
      </c>
      <c r="L24" s="59">
        <v>13.696</v>
      </c>
      <c r="M24" s="59">
        <v>6.47</v>
      </c>
      <c r="N24" s="59">
        <v>11.8</v>
      </c>
      <c r="O24" s="59">
        <v>14.654</v>
      </c>
      <c r="P24" s="59">
        <v>7.9</v>
      </c>
      <c r="Q24" s="60">
        <f>U24+W24</f>
        <v>119.42</v>
      </c>
      <c r="R24" s="60"/>
      <c r="S24" s="60">
        <f t="shared" ref="S24" si="25">Q24-R24-T24</f>
        <v>21.882999999999996</v>
      </c>
      <c r="T24" s="60">
        <f>V24+X24</f>
        <v>97.537000000000006</v>
      </c>
      <c r="U24" s="59">
        <v>109.42</v>
      </c>
      <c r="V24" s="59">
        <f>87.537</f>
        <v>87.537000000000006</v>
      </c>
      <c r="W24" s="59">
        <v>10</v>
      </c>
      <c r="X24" s="59">
        <v>10</v>
      </c>
      <c r="Y24" s="59">
        <f t="shared" si="20"/>
        <v>82.358620689655169</v>
      </c>
      <c r="Z24" s="59">
        <f t="shared" si="21"/>
        <v>82.358620689655169</v>
      </c>
    </row>
    <row r="25" spans="1:28" s="46" customFormat="1" ht="18" customHeight="1" x14ac:dyDescent="0.3">
      <c r="A25" s="35"/>
      <c r="B25" s="36" t="s">
        <v>33</v>
      </c>
      <c r="C25" s="59">
        <f t="shared" si="11"/>
        <v>1849</v>
      </c>
      <c r="D25" s="59"/>
      <c r="E25" s="59">
        <v>1849</v>
      </c>
      <c r="F25" s="59"/>
      <c r="G25" s="59">
        <f t="shared" si="24"/>
        <v>1849</v>
      </c>
      <c r="H25" s="59"/>
      <c r="I25" s="59">
        <v>1849</v>
      </c>
      <c r="J25" s="59"/>
      <c r="K25" s="59">
        <f t="shared" si="12"/>
        <v>0</v>
      </c>
      <c r="L25" s="59"/>
      <c r="M25" s="59"/>
      <c r="N25" s="59"/>
      <c r="O25" s="59"/>
      <c r="P25" s="59"/>
      <c r="Q25" s="60">
        <f>U25+W25</f>
        <v>643.30799999999999</v>
      </c>
      <c r="R25" s="60"/>
      <c r="S25" s="60">
        <f>Q25-R25-T25</f>
        <v>643.30799999999999</v>
      </c>
      <c r="T25" s="60">
        <f>V25+X25</f>
        <v>0</v>
      </c>
      <c r="U25" s="59">
        <f>495.658+95.65</f>
        <v>591.30799999999999</v>
      </c>
      <c r="V25" s="59"/>
      <c r="W25" s="59">
        <v>52</v>
      </c>
      <c r="X25" s="59"/>
      <c r="Y25" s="59">
        <f t="shared" si="20"/>
        <v>34.79221200648999</v>
      </c>
      <c r="Z25" s="59">
        <f t="shared" si="21"/>
        <v>34.79221200648999</v>
      </c>
    </row>
    <row r="26" spans="1:28" s="46" customFormat="1" ht="18" customHeight="1" x14ac:dyDescent="0.3">
      <c r="A26" s="35"/>
      <c r="B26" s="36" t="s">
        <v>111</v>
      </c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60">
        <f>U26+W26</f>
        <v>16.600000000000001</v>
      </c>
      <c r="R26" s="60">
        <v>16.600000000000001</v>
      </c>
      <c r="S26" s="60"/>
      <c r="T26" s="60"/>
      <c r="U26" s="59">
        <v>16.600000000000001</v>
      </c>
      <c r="V26" s="59"/>
      <c r="W26" s="59"/>
      <c r="X26" s="59"/>
      <c r="Y26" s="59"/>
      <c r="Z26" s="59"/>
    </row>
    <row r="27" spans="1:28" s="46" customFormat="1" ht="18" customHeight="1" x14ac:dyDescent="0.3">
      <c r="A27" s="33">
        <v>7</v>
      </c>
      <c r="B27" s="34" t="s">
        <v>34</v>
      </c>
      <c r="C27" s="58">
        <f>C28+C31+C32</f>
        <v>2030.5</v>
      </c>
      <c r="D27" s="58">
        <f t="shared" ref="D27:P27" si="26">D28+D31+D32</f>
        <v>0</v>
      </c>
      <c r="E27" s="58">
        <f t="shared" si="26"/>
        <v>1380</v>
      </c>
      <c r="F27" s="58">
        <f t="shared" si="26"/>
        <v>650.5</v>
      </c>
      <c r="G27" s="58">
        <f t="shared" si="26"/>
        <v>2030.5</v>
      </c>
      <c r="H27" s="58">
        <f t="shared" si="26"/>
        <v>0</v>
      </c>
      <c r="I27" s="58">
        <f t="shared" si="26"/>
        <v>1380</v>
      </c>
      <c r="J27" s="58">
        <f t="shared" si="26"/>
        <v>650.5</v>
      </c>
      <c r="K27" s="58">
        <f>K28+K31+K32</f>
        <v>717.97800000000007</v>
      </c>
      <c r="L27" s="58">
        <f t="shared" si="26"/>
        <v>20.240000000000002</v>
      </c>
      <c r="M27" s="58">
        <f t="shared" si="26"/>
        <v>341.07</v>
      </c>
      <c r="N27" s="58">
        <f t="shared" si="26"/>
        <v>10.199999999999999</v>
      </c>
      <c r="O27" s="58">
        <f>O28+O31+O32</f>
        <v>341.09800000000007</v>
      </c>
      <c r="P27" s="58">
        <f t="shared" si="26"/>
        <v>5.37</v>
      </c>
      <c r="Q27" s="58">
        <f>Q28+Q31+Q32</f>
        <v>3121.1</v>
      </c>
      <c r="R27" s="58">
        <f t="shared" ref="R27:T27" si="27">R28+R31+R32</f>
        <v>0.24199999999999999</v>
      </c>
      <c r="S27" s="58">
        <f t="shared" si="27"/>
        <v>2129.06</v>
      </c>
      <c r="T27" s="58">
        <f t="shared" si="27"/>
        <v>991.87500000000011</v>
      </c>
      <c r="U27" s="58">
        <f t="shared" ref="U27:X27" si="28">U28+U31+U32</f>
        <v>2858.1</v>
      </c>
      <c r="V27" s="58">
        <f t="shared" si="28"/>
        <v>891.87500000000011</v>
      </c>
      <c r="W27" s="58">
        <f t="shared" si="28"/>
        <v>263</v>
      </c>
      <c r="X27" s="58">
        <f t="shared" si="28"/>
        <v>100</v>
      </c>
      <c r="Y27" s="58">
        <f t="shared" si="20"/>
        <v>153.71090864319132</v>
      </c>
      <c r="Z27" s="58">
        <f t="shared" si="21"/>
        <v>153.71090864319132</v>
      </c>
    </row>
    <row r="28" spans="1:28" s="46" customFormat="1" ht="18" customHeight="1" x14ac:dyDescent="0.3">
      <c r="A28" s="35"/>
      <c r="B28" s="36" t="s">
        <v>35</v>
      </c>
      <c r="C28" s="59">
        <f>SUM(C29:C30)</f>
        <v>2023.5</v>
      </c>
      <c r="D28" s="59">
        <f t="shared" ref="D28:J28" si="29">SUM(D29:D30)</f>
        <v>0</v>
      </c>
      <c r="E28" s="59">
        <f t="shared" si="29"/>
        <v>1373</v>
      </c>
      <c r="F28" s="59">
        <f t="shared" si="29"/>
        <v>650.5</v>
      </c>
      <c r="G28" s="59">
        <f t="shared" si="29"/>
        <v>2023.5</v>
      </c>
      <c r="H28" s="59">
        <f t="shared" si="29"/>
        <v>0</v>
      </c>
      <c r="I28" s="59">
        <f t="shared" si="29"/>
        <v>1373</v>
      </c>
      <c r="J28" s="59">
        <f t="shared" si="29"/>
        <v>650.5</v>
      </c>
      <c r="K28" s="59">
        <f>SUM(K29:K30)</f>
        <v>664.00800000000004</v>
      </c>
      <c r="L28" s="59">
        <f t="shared" ref="L28:P28" si="30">SUM(L29:L30)</f>
        <v>0</v>
      </c>
      <c r="M28" s="59">
        <f t="shared" si="30"/>
        <v>333.67</v>
      </c>
      <c r="N28" s="59">
        <f t="shared" si="30"/>
        <v>0</v>
      </c>
      <c r="O28" s="59">
        <f t="shared" si="30"/>
        <v>330.33800000000002</v>
      </c>
      <c r="P28" s="59">
        <f t="shared" si="30"/>
        <v>0</v>
      </c>
      <c r="Q28" s="59">
        <f>SUM(Q29:Q30)</f>
        <v>3041</v>
      </c>
      <c r="R28" s="59">
        <f t="shared" ref="R28:T28" si="31">SUM(R29:R30)</f>
        <v>0</v>
      </c>
      <c r="S28" s="59">
        <f t="shared" si="31"/>
        <v>2111.06</v>
      </c>
      <c r="T28" s="59">
        <f t="shared" si="31"/>
        <v>929.94</v>
      </c>
      <c r="U28" s="59">
        <f>SUM(U29:U30)</f>
        <v>2783</v>
      </c>
      <c r="V28" s="59">
        <f t="shared" ref="V28:X28" si="32">SUM(V29:V30)</f>
        <v>834.94</v>
      </c>
      <c r="W28" s="59">
        <f t="shared" si="32"/>
        <v>258</v>
      </c>
      <c r="X28" s="59">
        <f t="shared" si="32"/>
        <v>95</v>
      </c>
      <c r="Y28" s="59">
        <f t="shared" si="20"/>
        <v>150.28416110699283</v>
      </c>
      <c r="Z28" s="59">
        <f t="shared" si="21"/>
        <v>150.28416110699283</v>
      </c>
    </row>
    <row r="29" spans="1:28" s="46" customFormat="1" ht="18" customHeight="1" x14ac:dyDescent="0.3">
      <c r="A29" s="35"/>
      <c r="B29" s="36" t="s">
        <v>36</v>
      </c>
      <c r="C29" s="59">
        <f t="shared" si="11"/>
        <v>122</v>
      </c>
      <c r="D29" s="59"/>
      <c r="E29" s="59">
        <v>42</v>
      </c>
      <c r="F29" s="59">
        <v>80</v>
      </c>
      <c r="G29" s="59">
        <f t="shared" ref="G29:G30" si="33">H29+I29+J29</f>
        <v>122</v>
      </c>
      <c r="H29" s="59"/>
      <c r="I29" s="59">
        <v>42</v>
      </c>
      <c r="J29" s="59">
        <v>80</v>
      </c>
      <c r="K29" s="59">
        <f t="shared" si="12"/>
        <v>0</v>
      </c>
      <c r="L29" s="59"/>
      <c r="M29" s="59"/>
      <c r="N29" s="59"/>
      <c r="O29" s="59"/>
      <c r="P29" s="59"/>
      <c r="Q29" s="61">
        <f>U29+W29</f>
        <v>0</v>
      </c>
      <c r="R29" s="61"/>
      <c r="S29" s="60">
        <f t="shared" ref="S29:S31" si="34">Q29-R29-T29</f>
        <v>0</v>
      </c>
      <c r="T29" s="60">
        <f>V29+X29</f>
        <v>0</v>
      </c>
      <c r="U29" s="59"/>
      <c r="V29" s="59"/>
      <c r="W29" s="59"/>
      <c r="X29" s="59"/>
      <c r="Y29" s="59">
        <f t="shared" si="20"/>
        <v>0</v>
      </c>
      <c r="Z29" s="59">
        <f t="shared" si="21"/>
        <v>0</v>
      </c>
    </row>
    <row r="30" spans="1:28" s="46" customFormat="1" ht="18" customHeight="1" x14ac:dyDescent="0.3">
      <c r="A30" s="35"/>
      <c r="B30" s="36" t="s">
        <v>54</v>
      </c>
      <c r="C30" s="59">
        <f t="shared" si="11"/>
        <v>1901.5</v>
      </c>
      <c r="D30" s="59"/>
      <c r="E30" s="59">
        <v>1331</v>
      </c>
      <c r="F30" s="59">
        <v>570.5</v>
      </c>
      <c r="G30" s="59">
        <f t="shared" si="33"/>
        <v>1901.5</v>
      </c>
      <c r="H30" s="59"/>
      <c r="I30" s="59">
        <v>1331</v>
      </c>
      <c r="J30" s="59">
        <v>570.5</v>
      </c>
      <c r="K30" s="59">
        <f t="shared" si="12"/>
        <v>664.00800000000004</v>
      </c>
      <c r="L30" s="59"/>
      <c r="M30" s="59">
        <v>333.67</v>
      </c>
      <c r="N30" s="59"/>
      <c r="O30" s="59">
        <v>330.33800000000002</v>
      </c>
      <c r="P30" s="59"/>
      <c r="Q30" s="60">
        <f>U30+W30</f>
        <v>3041</v>
      </c>
      <c r="R30" s="60"/>
      <c r="S30" s="60">
        <f t="shared" si="34"/>
        <v>2111.06</v>
      </c>
      <c r="T30" s="60">
        <f>V30+X30</f>
        <v>929.94</v>
      </c>
      <c r="U30" s="59">
        <v>2783</v>
      </c>
      <c r="V30" s="59">
        <f>834.94</f>
        <v>834.94</v>
      </c>
      <c r="W30" s="59">
        <v>258</v>
      </c>
      <c r="X30" s="59">
        <v>95</v>
      </c>
      <c r="Y30" s="59">
        <f t="shared" si="20"/>
        <v>159.92637391533</v>
      </c>
      <c r="Z30" s="59">
        <f t="shared" si="21"/>
        <v>159.92637391533</v>
      </c>
    </row>
    <row r="31" spans="1:28" s="46" customFormat="1" ht="18" customHeight="1" x14ac:dyDescent="0.3">
      <c r="A31" s="35"/>
      <c r="B31" s="36" t="s">
        <v>37</v>
      </c>
      <c r="C31" s="59">
        <f>D31+E31+F31</f>
        <v>7</v>
      </c>
      <c r="D31" s="59"/>
      <c r="E31" s="59">
        <v>7</v>
      </c>
      <c r="F31" s="59"/>
      <c r="G31" s="59">
        <f>H31+I31+J31</f>
        <v>7</v>
      </c>
      <c r="H31" s="59"/>
      <c r="I31" s="59">
        <v>7</v>
      </c>
      <c r="J31" s="59"/>
      <c r="K31" s="59">
        <f t="shared" si="12"/>
        <v>30</v>
      </c>
      <c r="L31" s="59">
        <v>11.8</v>
      </c>
      <c r="M31" s="59">
        <v>3</v>
      </c>
      <c r="N31" s="59">
        <v>6</v>
      </c>
      <c r="O31" s="59">
        <v>7.1</v>
      </c>
      <c r="P31" s="59">
        <v>2.1</v>
      </c>
      <c r="Q31" s="60">
        <f>U31+W31</f>
        <v>49.1</v>
      </c>
      <c r="R31" s="60"/>
      <c r="S31" s="60">
        <f t="shared" si="34"/>
        <v>18</v>
      </c>
      <c r="T31" s="60">
        <f>V31+X31</f>
        <v>31.1</v>
      </c>
      <c r="U31" s="59">
        <v>49.1</v>
      </c>
      <c r="V31" s="59">
        <f>31.1</f>
        <v>31.1</v>
      </c>
      <c r="W31" s="59"/>
      <c r="X31" s="59"/>
      <c r="Y31" s="59">
        <f t="shared" si="20"/>
        <v>701.42857142857144</v>
      </c>
      <c r="Z31" s="59">
        <f t="shared" si="21"/>
        <v>701.42857142857144</v>
      </c>
    </row>
    <row r="32" spans="1:28" s="46" customFormat="1" ht="18" customHeight="1" x14ac:dyDescent="0.3">
      <c r="A32" s="35"/>
      <c r="B32" s="36" t="s">
        <v>110</v>
      </c>
      <c r="C32" s="59">
        <f>D32+E32+F32</f>
        <v>0</v>
      </c>
      <c r="D32" s="59"/>
      <c r="E32" s="59"/>
      <c r="F32" s="59"/>
      <c r="G32" s="59">
        <f>H32+I32+J32</f>
        <v>0</v>
      </c>
      <c r="H32" s="59"/>
      <c r="I32" s="59"/>
      <c r="J32" s="59"/>
      <c r="K32" s="59">
        <f t="shared" si="12"/>
        <v>23.97</v>
      </c>
      <c r="L32" s="59">
        <v>8.44</v>
      </c>
      <c r="M32" s="59">
        <v>4.4000000000000004</v>
      </c>
      <c r="N32" s="59">
        <v>4.2</v>
      </c>
      <c r="O32" s="59">
        <v>3.66</v>
      </c>
      <c r="P32" s="59">
        <v>3.27</v>
      </c>
      <c r="Q32" s="60">
        <f>U32+W32</f>
        <v>31</v>
      </c>
      <c r="R32" s="60">
        <v>0.24199999999999999</v>
      </c>
      <c r="S32" s="60"/>
      <c r="T32" s="60">
        <f>V32+X32</f>
        <v>30.835000000000001</v>
      </c>
      <c r="U32" s="59">
        <f>11+15</f>
        <v>26</v>
      </c>
      <c r="V32" s="59">
        <f>11.01+14.825</f>
        <v>25.835000000000001</v>
      </c>
      <c r="W32" s="59">
        <v>5</v>
      </c>
      <c r="X32" s="59">
        <v>5</v>
      </c>
      <c r="Y32" s="59"/>
      <c r="Z32" s="59"/>
      <c r="AB32" s="64"/>
    </row>
    <row r="33" spans="1:26" s="46" customFormat="1" ht="18" customHeight="1" x14ac:dyDescent="0.3">
      <c r="A33" s="33" t="s">
        <v>38</v>
      </c>
      <c r="B33" s="34" t="s">
        <v>39</v>
      </c>
      <c r="C33" s="58">
        <f>C34+C37</f>
        <v>1265</v>
      </c>
      <c r="D33" s="58">
        <f t="shared" ref="D33:X33" si="35">D34+D37</f>
        <v>0</v>
      </c>
      <c r="E33" s="58">
        <f t="shared" si="35"/>
        <v>0</v>
      </c>
      <c r="F33" s="58">
        <f t="shared" si="35"/>
        <v>1265</v>
      </c>
      <c r="G33" s="58">
        <f t="shared" si="35"/>
        <v>1265</v>
      </c>
      <c r="H33" s="58">
        <f t="shared" si="35"/>
        <v>0</v>
      </c>
      <c r="I33" s="58">
        <f t="shared" si="35"/>
        <v>0</v>
      </c>
      <c r="J33" s="58">
        <f t="shared" si="35"/>
        <v>1265</v>
      </c>
      <c r="K33" s="58">
        <f t="shared" si="35"/>
        <v>607.26200000000006</v>
      </c>
      <c r="L33" s="58">
        <f t="shared" si="35"/>
        <v>327.94499999999999</v>
      </c>
      <c r="M33" s="58">
        <f t="shared" si="35"/>
        <v>66.116</v>
      </c>
      <c r="N33" s="58">
        <f t="shared" si="35"/>
        <v>57.494999999999997</v>
      </c>
      <c r="O33" s="58">
        <f t="shared" si="35"/>
        <v>110.64100000000001</v>
      </c>
      <c r="P33" s="58">
        <f t="shared" si="35"/>
        <v>45.064999999999998</v>
      </c>
      <c r="Q33" s="58">
        <f t="shared" si="35"/>
        <v>879.25599999999997</v>
      </c>
      <c r="R33" s="58">
        <f t="shared" si="35"/>
        <v>0</v>
      </c>
      <c r="S33" s="58">
        <f t="shared" si="35"/>
        <v>0</v>
      </c>
      <c r="T33" s="58">
        <f t="shared" si="35"/>
        <v>879.25599999999997</v>
      </c>
      <c r="U33" s="58">
        <f t="shared" si="35"/>
        <v>607.25599999999997</v>
      </c>
      <c r="V33" s="58">
        <f t="shared" si="35"/>
        <v>607.25599999999997</v>
      </c>
      <c r="W33" s="58">
        <f t="shared" si="35"/>
        <v>272</v>
      </c>
      <c r="X33" s="58">
        <f t="shared" si="35"/>
        <v>272</v>
      </c>
      <c r="Y33" s="58">
        <f>Q33/C33*100</f>
        <v>69.506403162055335</v>
      </c>
      <c r="Z33" s="58">
        <f>Q33/G33*100</f>
        <v>69.506403162055335</v>
      </c>
    </row>
    <row r="34" spans="1:26" s="46" customFormat="1" ht="18" customHeight="1" x14ac:dyDescent="0.3">
      <c r="A34" s="33">
        <v>1</v>
      </c>
      <c r="B34" s="34" t="s">
        <v>40</v>
      </c>
      <c r="C34" s="58">
        <f>SUM(C35:C36)</f>
        <v>215</v>
      </c>
      <c r="D34" s="58">
        <f t="shared" ref="D34:F34" si="36">SUM(D35:D36)</f>
        <v>0</v>
      </c>
      <c r="E34" s="58">
        <f t="shared" si="36"/>
        <v>0</v>
      </c>
      <c r="F34" s="58">
        <f t="shared" si="36"/>
        <v>215</v>
      </c>
      <c r="G34" s="58">
        <f>SUM(G35:G36)</f>
        <v>215</v>
      </c>
      <c r="H34" s="58">
        <f t="shared" ref="H34:X34" si="37">SUM(H35:H36)</f>
        <v>0</v>
      </c>
      <c r="I34" s="58">
        <f t="shared" si="37"/>
        <v>0</v>
      </c>
      <c r="J34" s="58">
        <f t="shared" si="37"/>
        <v>215</v>
      </c>
      <c r="K34" s="58">
        <f t="shared" si="37"/>
        <v>64.495999999999995</v>
      </c>
      <c r="L34" s="58">
        <f t="shared" si="37"/>
        <v>64.495999999999995</v>
      </c>
      <c r="M34" s="58">
        <f t="shared" si="37"/>
        <v>0</v>
      </c>
      <c r="N34" s="58">
        <f t="shared" si="37"/>
        <v>0</v>
      </c>
      <c r="O34" s="58">
        <f t="shared" si="37"/>
        <v>0</v>
      </c>
      <c r="P34" s="58">
        <f t="shared" si="37"/>
        <v>0</v>
      </c>
      <c r="Q34" s="58">
        <f t="shared" si="37"/>
        <v>131.49599999999998</v>
      </c>
      <c r="R34" s="58">
        <f t="shared" si="37"/>
        <v>0</v>
      </c>
      <c r="S34" s="58">
        <f t="shared" si="37"/>
        <v>0</v>
      </c>
      <c r="T34" s="58">
        <f t="shared" si="37"/>
        <v>131.49599999999998</v>
      </c>
      <c r="U34" s="58">
        <f t="shared" si="37"/>
        <v>64.495999999999995</v>
      </c>
      <c r="V34" s="58">
        <f t="shared" si="37"/>
        <v>64.495999999999995</v>
      </c>
      <c r="W34" s="58">
        <f t="shared" si="37"/>
        <v>67</v>
      </c>
      <c r="X34" s="58">
        <f t="shared" si="37"/>
        <v>67</v>
      </c>
      <c r="Y34" s="58">
        <f>Q34/C34*100</f>
        <v>61.16093023255813</v>
      </c>
      <c r="Z34" s="58">
        <f>Q34/G34*100</f>
        <v>61.16093023255813</v>
      </c>
    </row>
    <row r="35" spans="1:26" s="46" customFormat="1" ht="18" customHeight="1" x14ac:dyDescent="0.3">
      <c r="A35" s="35"/>
      <c r="B35" s="36" t="s">
        <v>41</v>
      </c>
      <c r="C35" s="59">
        <f t="shared" si="11"/>
        <v>182</v>
      </c>
      <c r="D35" s="59"/>
      <c r="E35" s="59"/>
      <c r="F35" s="59">
        <v>182</v>
      </c>
      <c r="G35" s="59">
        <f>H35+I35+J35</f>
        <v>182</v>
      </c>
      <c r="H35" s="59"/>
      <c r="I35" s="59"/>
      <c r="J35" s="59">
        <v>182</v>
      </c>
      <c r="K35" s="59">
        <f t="shared" ref="K35:K36" si="38">SUM(L35:P35)</f>
        <v>64.495999999999995</v>
      </c>
      <c r="L35" s="59">
        <v>64.495999999999995</v>
      </c>
      <c r="M35" s="59"/>
      <c r="N35" s="59"/>
      <c r="O35" s="59"/>
      <c r="P35" s="59"/>
      <c r="Q35" s="60">
        <f>U35+W35</f>
        <v>131.49599999999998</v>
      </c>
      <c r="R35" s="60"/>
      <c r="S35" s="60">
        <f t="shared" ref="S35:S41" si="39">Q35-R35-T35</f>
        <v>0</v>
      </c>
      <c r="T35" s="60">
        <f>V35+X35</f>
        <v>131.49599999999998</v>
      </c>
      <c r="U35" s="59">
        <v>64.495999999999995</v>
      </c>
      <c r="V35" s="59">
        <v>64.495999999999995</v>
      </c>
      <c r="W35" s="59">
        <v>67</v>
      </c>
      <c r="X35" s="59">
        <v>67</v>
      </c>
      <c r="Y35" s="59">
        <f>Q35/C35*100</f>
        <v>72.250549450549443</v>
      </c>
      <c r="Z35" s="59">
        <f>Q35/G35*100</f>
        <v>72.250549450549443</v>
      </c>
    </row>
    <row r="36" spans="1:26" s="46" customFormat="1" ht="18" customHeight="1" x14ac:dyDescent="0.3">
      <c r="A36" s="35"/>
      <c r="B36" s="36" t="s">
        <v>53</v>
      </c>
      <c r="C36" s="59">
        <f t="shared" si="11"/>
        <v>33</v>
      </c>
      <c r="D36" s="59"/>
      <c r="E36" s="59"/>
      <c r="F36" s="59">
        <v>33</v>
      </c>
      <c r="G36" s="59">
        <f>H36+I36+J36</f>
        <v>33</v>
      </c>
      <c r="H36" s="59"/>
      <c r="I36" s="59"/>
      <c r="J36" s="59">
        <v>33</v>
      </c>
      <c r="K36" s="59">
        <f t="shared" si="38"/>
        <v>0</v>
      </c>
      <c r="L36" s="59"/>
      <c r="M36" s="59"/>
      <c r="N36" s="59"/>
      <c r="O36" s="59"/>
      <c r="P36" s="59"/>
      <c r="Q36" s="61">
        <f>U36+W36</f>
        <v>0</v>
      </c>
      <c r="R36" s="61"/>
      <c r="S36" s="60">
        <f t="shared" si="39"/>
        <v>0</v>
      </c>
      <c r="T36" s="60">
        <f>V36+X36</f>
        <v>0</v>
      </c>
      <c r="U36" s="59"/>
      <c r="V36" s="59"/>
      <c r="W36" s="59"/>
      <c r="X36" s="59"/>
      <c r="Y36" s="59"/>
      <c r="Z36" s="59"/>
    </row>
    <row r="37" spans="1:26" s="46" customFormat="1" ht="18" customHeight="1" x14ac:dyDescent="0.3">
      <c r="A37" s="33">
        <v>2</v>
      </c>
      <c r="B37" s="34" t="s">
        <v>42</v>
      </c>
      <c r="C37" s="58">
        <f>C38</f>
        <v>1050</v>
      </c>
      <c r="D37" s="58">
        <f t="shared" ref="D37:X37" si="40">D38</f>
        <v>0</v>
      </c>
      <c r="E37" s="58">
        <f t="shared" si="40"/>
        <v>0</v>
      </c>
      <c r="F37" s="58">
        <f t="shared" si="40"/>
        <v>1050</v>
      </c>
      <c r="G37" s="58">
        <f t="shared" si="40"/>
        <v>1050</v>
      </c>
      <c r="H37" s="58">
        <f t="shared" si="40"/>
        <v>0</v>
      </c>
      <c r="I37" s="58">
        <f t="shared" si="40"/>
        <v>0</v>
      </c>
      <c r="J37" s="58">
        <f t="shared" si="40"/>
        <v>1050</v>
      </c>
      <c r="K37" s="58">
        <f t="shared" si="40"/>
        <v>542.76600000000008</v>
      </c>
      <c r="L37" s="58">
        <f t="shared" si="40"/>
        <v>263.44900000000001</v>
      </c>
      <c r="M37" s="58">
        <f t="shared" si="40"/>
        <v>66.116</v>
      </c>
      <c r="N37" s="58">
        <f t="shared" si="40"/>
        <v>57.494999999999997</v>
      </c>
      <c r="O37" s="58">
        <f t="shared" si="40"/>
        <v>110.64100000000001</v>
      </c>
      <c r="P37" s="58">
        <f t="shared" si="40"/>
        <v>45.064999999999998</v>
      </c>
      <c r="Q37" s="58">
        <f t="shared" si="40"/>
        <v>747.76</v>
      </c>
      <c r="R37" s="58">
        <f t="shared" si="40"/>
        <v>0</v>
      </c>
      <c r="S37" s="58">
        <f t="shared" si="40"/>
        <v>0</v>
      </c>
      <c r="T37" s="58">
        <f t="shared" si="40"/>
        <v>747.76</v>
      </c>
      <c r="U37" s="58">
        <f t="shared" si="40"/>
        <v>542.76</v>
      </c>
      <c r="V37" s="58">
        <f t="shared" si="40"/>
        <v>542.76</v>
      </c>
      <c r="W37" s="58">
        <f t="shared" si="40"/>
        <v>205</v>
      </c>
      <c r="X37" s="58">
        <f t="shared" si="40"/>
        <v>205</v>
      </c>
      <c r="Y37" s="58">
        <f>Q37/C37*100</f>
        <v>71.215238095238092</v>
      </c>
      <c r="Z37" s="58">
        <f>Q37/G37*100</f>
        <v>71.215238095238092</v>
      </c>
    </row>
    <row r="38" spans="1:26" s="46" customFormat="1" ht="18" customHeight="1" x14ac:dyDescent="0.3">
      <c r="A38" s="33"/>
      <c r="B38" s="36" t="s">
        <v>43</v>
      </c>
      <c r="C38" s="59">
        <f t="shared" si="11"/>
        <v>1050</v>
      </c>
      <c r="D38" s="59"/>
      <c r="E38" s="59"/>
      <c r="F38" s="59">
        <v>1050</v>
      </c>
      <c r="G38" s="59">
        <f>H38+I38+J38</f>
        <v>1050</v>
      </c>
      <c r="H38" s="59"/>
      <c r="I38" s="59"/>
      <c r="J38" s="59">
        <v>1050</v>
      </c>
      <c r="K38" s="59">
        <f t="shared" ref="K38" si="41">SUM(L38:P38)</f>
        <v>542.76600000000008</v>
      </c>
      <c r="L38" s="59">
        <v>263.44900000000001</v>
      </c>
      <c r="M38" s="59">
        <v>66.116</v>
      </c>
      <c r="N38" s="59">
        <v>57.494999999999997</v>
      </c>
      <c r="O38" s="59">
        <v>110.64100000000001</v>
      </c>
      <c r="P38" s="59">
        <v>45.064999999999998</v>
      </c>
      <c r="Q38" s="60">
        <f>U38+W38</f>
        <v>747.76</v>
      </c>
      <c r="R38" s="60"/>
      <c r="S38" s="60">
        <f t="shared" si="39"/>
        <v>0</v>
      </c>
      <c r="T38" s="60">
        <f>V38+X38</f>
        <v>747.76</v>
      </c>
      <c r="U38" s="59">
        <v>542.76</v>
      </c>
      <c r="V38" s="59">
        <v>542.76</v>
      </c>
      <c r="W38" s="59">
        <v>205</v>
      </c>
      <c r="X38" s="59">
        <v>205</v>
      </c>
      <c r="Y38" s="59">
        <f>Q38/C38*100</f>
        <v>71.215238095238092</v>
      </c>
      <c r="Z38" s="59">
        <f>Q38/G38*100</f>
        <v>71.215238095238092</v>
      </c>
    </row>
    <row r="39" spans="1:26" s="46" customFormat="1" ht="18" customHeight="1" x14ac:dyDescent="0.3">
      <c r="A39" s="33" t="s">
        <v>44</v>
      </c>
      <c r="B39" s="34" t="s">
        <v>45</v>
      </c>
      <c r="C39" s="58">
        <f>SUM(C40:C41)</f>
        <v>1740</v>
      </c>
      <c r="D39" s="58">
        <f t="shared" ref="D39:P39" si="42">SUM(D40:D41)</f>
        <v>0</v>
      </c>
      <c r="E39" s="58">
        <f t="shared" si="42"/>
        <v>1551.5</v>
      </c>
      <c r="F39" s="58">
        <f t="shared" si="42"/>
        <v>188.5</v>
      </c>
      <c r="G39" s="58">
        <f t="shared" si="42"/>
        <v>1740</v>
      </c>
      <c r="H39" s="58">
        <f t="shared" si="42"/>
        <v>0</v>
      </c>
      <c r="I39" s="58">
        <f t="shared" si="42"/>
        <v>1551.5</v>
      </c>
      <c r="J39" s="58">
        <f t="shared" si="42"/>
        <v>188.5</v>
      </c>
      <c r="K39" s="58">
        <f t="shared" si="42"/>
        <v>238.714</v>
      </c>
      <c r="L39" s="58">
        <f t="shared" si="42"/>
        <v>0</v>
      </c>
      <c r="M39" s="58">
        <f t="shared" si="42"/>
        <v>104.303</v>
      </c>
      <c r="N39" s="58">
        <f t="shared" si="42"/>
        <v>0</v>
      </c>
      <c r="O39" s="58">
        <f t="shared" si="42"/>
        <v>134.411</v>
      </c>
      <c r="P39" s="58">
        <f t="shared" si="42"/>
        <v>0</v>
      </c>
      <c r="Q39" s="58">
        <f>SUM(Q40:Q41)</f>
        <v>2847.7180000000003</v>
      </c>
      <c r="R39" s="58">
        <f t="shared" ref="R39:T39" si="43">SUM(R40:R41)</f>
        <v>44.03</v>
      </c>
      <c r="S39" s="58">
        <f t="shared" si="43"/>
        <v>2496.6999999999998</v>
      </c>
      <c r="T39" s="58">
        <f t="shared" si="43"/>
        <v>306.98799999999994</v>
      </c>
      <c r="U39" s="58">
        <f t="shared" ref="U39:X39" si="44">SUM(U40:U41)</f>
        <v>2627.7180000000003</v>
      </c>
      <c r="V39" s="58">
        <f t="shared" si="44"/>
        <v>273.988</v>
      </c>
      <c r="W39" s="58">
        <f t="shared" si="44"/>
        <v>220</v>
      </c>
      <c r="X39" s="58">
        <f t="shared" si="44"/>
        <v>33</v>
      </c>
      <c r="Y39" s="58">
        <f>Q39/C39*100</f>
        <v>163.66195402298854</v>
      </c>
      <c r="Z39" s="58">
        <f>Q39/G39*100</f>
        <v>163.66195402298854</v>
      </c>
    </row>
    <row r="40" spans="1:26" s="46" customFormat="1" ht="18" customHeight="1" x14ac:dyDescent="0.3">
      <c r="A40" s="33">
        <v>1</v>
      </c>
      <c r="B40" s="34" t="s">
        <v>55</v>
      </c>
      <c r="C40" s="59">
        <f>D40+E40+F40</f>
        <v>355</v>
      </c>
      <c r="D40" s="58"/>
      <c r="E40" s="58">
        <v>305</v>
      </c>
      <c r="F40" s="58">
        <v>50</v>
      </c>
      <c r="G40" s="59">
        <f>H40+I40+J40</f>
        <v>355</v>
      </c>
      <c r="H40" s="58"/>
      <c r="I40" s="58">
        <v>305</v>
      </c>
      <c r="J40" s="58">
        <v>50</v>
      </c>
      <c r="K40" s="59">
        <f t="shared" ref="K40:K42" si="45">SUM(L40:P40)</f>
        <v>10.457000000000001</v>
      </c>
      <c r="L40" s="58"/>
      <c r="M40" s="58">
        <f>4.5+0.444</f>
        <v>4.944</v>
      </c>
      <c r="N40" s="58"/>
      <c r="O40" s="58">
        <v>5.5129999999999999</v>
      </c>
      <c r="P40" s="58"/>
      <c r="Q40" s="61">
        <f>U40+W40</f>
        <v>168.8</v>
      </c>
      <c r="R40" s="61">
        <f>7.5+6+7.5+20.44+2.59</f>
        <v>44.03</v>
      </c>
      <c r="S40" s="61">
        <f t="shared" si="39"/>
        <v>94.673000000000002</v>
      </c>
      <c r="T40" s="61">
        <f>V40+X40</f>
        <v>30.097000000000001</v>
      </c>
      <c r="U40" s="58">
        <f>54+104.8</f>
        <v>158.80000000000001</v>
      </c>
      <c r="V40" s="58">
        <f>10.01+17.087</f>
        <v>27.097000000000001</v>
      </c>
      <c r="W40" s="58">
        <v>10</v>
      </c>
      <c r="X40" s="58">
        <v>3</v>
      </c>
      <c r="Y40" s="58">
        <f>Q40/C40*100</f>
        <v>47.549295774647895</v>
      </c>
      <c r="Z40" s="58">
        <f>Q40/G40*100</f>
        <v>47.549295774647895</v>
      </c>
    </row>
    <row r="41" spans="1:26" s="46" customFormat="1" ht="18" customHeight="1" x14ac:dyDescent="0.3">
      <c r="A41" s="33">
        <v>2</v>
      </c>
      <c r="B41" s="34" t="s">
        <v>46</v>
      </c>
      <c r="C41" s="59">
        <f>D41+E41+F41</f>
        <v>1385</v>
      </c>
      <c r="D41" s="58"/>
      <c r="E41" s="58">
        <v>1246.5</v>
      </c>
      <c r="F41" s="58">
        <v>138.5</v>
      </c>
      <c r="G41" s="59">
        <f>H41+I41+J41</f>
        <v>1385</v>
      </c>
      <c r="H41" s="58"/>
      <c r="I41" s="58">
        <v>1246.5</v>
      </c>
      <c r="J41" s="58">
        <v>138.5</v>
      </c>
      <c r="K41" s="59">
        <f t="shared" si="45"/>
        <v>228.25700000000001</v>
      </c>
      <c r="L41" s="58"/>
      <c r="M41" s="58">
        <v>99.358999999999995</v>
      </c>
      <c r="N41" s="58"/>
      <c r="O41" s="58">
        <v>128.898</v>
      </c>
      <c r="P41" s="58"/>
      <c r="Q41" s="61">
        <f>U41+W41</f>
        <v>2678.9180000000001</v>
      </c>
      <c r="R41" s="61"/>
      <c r="S41" s="61">
        <f t="shared" si="39"/>
        <v>2402.027</v>
      </c>
      <c r="T41" s="61">
        <f>V41+X41</f>
        <v>276.89099999999996</v>
      </c>
      <c r="U41" s="58">
        <v>2468.9180000000001</v>
      </c>
      <c r="V41" s="58">
        <v>246.89099999999999</v>
      </c>
      <c r="W41" s="58">
        <v>210</v>
      </c>
      <c r="X41" s="58">
        <v>30</v>
      </c>
      <c r="Y41" s="58">
        <f>Q41/C41*100</f>
        <v>193.4236823104693</v>
      </c>
      <c r="Z41" s="58">
        <f>Q41/G41*100</f>
        <v>193.4236823104693</v>
      </c>
    </row>
    <row r="42" spans="1:26" s="46" customFormat="1" ht="18" customHeight="1" x14ac:dyDescent="0.3">
      <c r="A42" s="33" t="s">
        <v>47</v>
      </c>
      <c r="B42" s="34" t="s">
        <v>48</v>
      </c>
      <c r="C42" s="59">
        <f t="shared" si="11"/>
        <v>0</v>
      </c>
      <c r="D42" s="58"/>
      <c r="E42" s="58"/>
      <c r="F42" s="58"/>
      <c r="G42" s="58"/>
      <c r="H42" s="58"/>
      <c r="I42" s="58"/>
      <c r="J42" s="58"/>
      <c r="K42" s="59">
        <f t="shared" si="45"/>
        <v>0</v>
      </c>
      <c r="L42" s="58"/>
      <c r="M42" s="58"/>
      <c r="N42" s="58"/>
      <c r="O42" s="58"/>
      <c r="P42" s="58"/>
      <c r="Q42" s="58"/>
      <c r="R42" s="58"/>
      <c r="S42" s="58"/>
      <c r="T42" s="60">
        <f>V42+X42</f>
        <v>0</v>
      </c>
      <c r="U42" s="58"/>
      <c r="V42" s="58"/>
      <c r="W42" s="58"/>
      <c r="X42" s="58"/>
      <c r="Y42" s="58"/>
      <c r="Z42" s="58"/>
    </row>
    <row r="43" spans="1:26" s="46" customFormat="1" ht="18" customHeight="1" x14ac:dyDescent="0.3">
      <c r="A43" s="33" t="s">
        <v>16</v>
      </c>
      <c r="B43" s="34" t="s">
        <v>49</v>
      </c>
      <c r="C43" s="58">
        <f>SUM(C44:C45)</f>
        <v>230748</v>
      </c>
      <c r="D43" s="58">
        <f t="shared" ref="D43:P43" si="46">SUM(D44:D45)</f>
        <v>0</v>
      </c>
      <c r="E43" s="58">
        <f t="shared" si="46"/>
        <v>0</v>
      </c>
      <c r="F43" s="58">
        <f t="shared" si="46"/>
        <v>230748</v>
      </c>
      <c r="G43" s="58">
        <f t="shared" si="46"/>
        <v>230748</v>
      </c>
      <c r="H43" s="58">
        <f t="shared" si="46"/>
        <v>0</v>
      </c>
      <c r="I43" s="58">
        <f t="shared" si="46"/>
        <v>0</v>
      </c>
      <c r="J43" s="58">
        <f t="shared" si="46"/>
        <v>230748</v>
      </c>
      <c r="K43" s="58">
        <f t="shared" si="46"/>
        <v>22898.245999999999</v>
      </c>
      <c r="L43" s="58">
        <f t="shared" si="46"/>
        <v>4933.26</v>
      </c>
      <c r="M43" s="58">
        <f t="shared" si="46"/>
        <v>3189.55</v>
      </c>
      <c r="N43" s="58">
        <f t="shared" si="46"/>
        <v>5405.0969999999998</v>
      </c>
      <c r="O43" s="58">
        <f t="shared" si="46"/>
        <v>5097.1490000000003</v>
      </c>
      <c r="P43" s="58">
        <f t="shared" si="46"/>
        <v>4273.1900000000005</v>
      </c>
      <c r="Q43" s="58">
        <f>SUM(Q44:Q45)</f>
        <v>158032</v>
      </c>
      <c r="R43" s="58"/>
      <c r="S43" s="58"/>
      <c r="T43" s="58">
        <f t="shared" ref="T43:X43" si="47">SUM(T44:T45)</f>
        <v>158032</v>
      </c>
      <c r="U43" s="58">
        <f t="shared" si="47"/>
        <v>102702</v>
      </c>
      <c r="V43" s="58">
        <f t="shared" si="47"/>
        <v>102702</v>
      </c>
      <c r="W43" s="58">
        <f t="shared" si="47"/>
        <v>55330</v>
      </c>
      <c r="X43" s="58">
        <f t="shared" si="47"/>
        <v>55330</v>
      </c>
      <c r="Y43" s="58">
        <f>Q43/C43*100</f>
        <v>68.486834122072565</v>
      </c>
      <c r="Z43" s="58">
        <f>Q43/G43*100</f>
        <v>68.486834122072565</v>
      </c>
    </row>
    <row r="44" spans="1:26" s="46" customFormat="1" ht="18" customHeight="1" x14ac:dyDescent="0.3">
      <c r="A44" s="35"/>
      <c r="B44" s="36" t="s">
        <v>50</v>
      </c>
      <c r="C44" s="59">
        <f>D44+E44+F44</f>
        <v>224934</v>
      </c>
      <c r="D44" s="59"/>
      <c r="E44" s="59"/>
      <c r="F44" s="59">
        <v>224934</v>
      </c>
      <c r="G44" s="59">
        <f>H44+I44+J44</f>
        <v>224934</v>
      </c>
      <c r="H44" s="59"/>
      <c r="I44" s="59"/>
      <c r="J44" s="59">
        <v>224934</v>
      </c>
      <c r="K44" s="59">
        <f t="shared" ref="K44:K45" si="48">SUM(L44:P44)</f>
        <v>14977.875</v>
      </c>
      <c r="L44" s="59">
        <v>3420.8960000000002</v>
      </c>
      <c r="M44" s="59">
        <v>2529</v>
      </c>
      <c r="N44" s="59">
        <v>2921.6570000000002</v>
      </c>
      <c r="O44" s="59">
        <v>2949.0320000000002</v>
      </c>
      <c r="P44" s="59">
        <v>3157.29</v>
      </c>
      <c r="Q44" s="60">
        <f>U44+W44</f>
        <v>88232</v>
      </c>
      <c r="R44" s="60"/>
      <c r="S44" s="60"/>
      <c r="T44" s="60">
        <f t="shared" ref="T44:T46" si="49">V44+X44</f>
        <v>88232</v>
      </c>
      <c r="U44" s="59">
        <v>34519</v>
      </c>
      <c r="V44" s="59">
        <v>34519</v>
      </c>
      <c r="W44" s="59">
        <v>53713</v>
      </c>
      <c r="X44" s="59">
        <v>53713</v>
      </c>
      <c r="Y44" s="59">
        <f>Q44/C44*100</f>
        <v>39.225728435896748</v>
      </c>
      <c r="Z44" s="59">
        <f>Q44/G44*100</f>
        <v>39.225728435896748</v>
      </c>
    </row>
    <row r="45" spans="1:26" s="46" customFormat="1" ht="18" customHeight="1" x14ac:dyDescent="0.3">
      <c r="A45" s="35"/>
      <c r="B45" s="36" t="s">
        <v>51</v>
      </c>
      <c r="C45" s="59">
        <f t="shared" si="11"/>
        <v>5814</v>
      </c>
      <c r="D45" s="59"/>
      <c r="E45" s="59"/>
      <c r="F45" s="59">
        <v>5814</v>
      </c>
      <c r="G45" s="59">
        <f>H45+I45+J45</f>
        <v>5814</v>
      </c>
      <c r="H45" s="59"/>
      <c r="I45" s="59"/>
      <c r="J45" s="59">
        <v>5814</v>
      </c>
      <c r="K45" s="59">
        <f t="shared" si="48"/>
        <v>7920.3709999999992</v>
      </c>
      <c r="L45" s="59">
        <v>1512.364</v>
      </c>
      <c r="M45" s="59">
        <v>660.55</v>
      </c>
      <c r="N45" s="59">
        <v>2483.44</v>
      </c>
      <c r="O45" s="59">
        <v>2148.1170000000002</v>
      </c>
      <c r="P45" s="59">
        <v>1115.9000000000001</v>
      </c>
      <c r="Q45" s="60">
        <f>U45+W45</f>
        <v>69800</v>
      </c>
      <c r="R45" s="60"/>
      <c r="S45" s="60"/>
      <c r="T45" s="60">
        <f t="shared" si="49"/>
        <v>69800</v>
      </c>
      <c r="U45" s="59">
        <v>68183</v>
      </c>
      <c r="V45" s="59">
        <v>68183</v>
      </c>
      <c r="W45" s="59">
        <v>1617</v>
      </c>
      <c r="X45" s="59">
        <v>1617</v>
      </c>
      <c r="Y45" s="59">
        <f>Q45/C45*100</f>
        <v>1200.5503955968352</v>
      </c>
      <c r="Z45" s="59">
        <f>Q45/G45*100</f>
        <v>1200.5503955968352</v>
      </c>
    </row>
    <row r="46" spans="1:26" s="50" customFormat="1" ht="18" customHeight="1" x14ac:dyDescent="0.3">
      <c r="A46" s="48" t="s">
        <v>52</v>
      </c>
      <c r="B46" s="49" t="s">
        <v>56</v>
      </c>
      <c r="C46" s="61"/>
      <c r="D46" s="61"/>
      <c r="E46" s="61"/>
      <c r="F46" s="61"/>
      <c r="G46" s="61"/>
      <c r="H46" s="61"/>
      <c r="I46" s="61"/>
      <c r="J46" s="61"/>
      <c r="K46" s="58">
        <f>SUM(L46:P46)</f>
        <v>7416.527</v>
      </c>
      <c r="L46" s="61">
        <v>761.5</v>
      </c>
      <c r="M46" s="61">
        <v>545.74699999999996</v>
      </c>
      <c r="N46" s="61">
        <v>4342.3959999999997</v>
      </c>
      <c r="O46" s="61">
        <v>348.07400000000001</v>
      </c>
      <c r="P46" s="61">
        <v>1418.81</v>
      </c>
      <c r="Q46" s="61">
        <f>U46+W46</f>
        <v>7416.53</v>
      </c>
      <c r="R46" s="61"/>
      <c r="S46" s="61"/>
      <c r="T46" s="60">
        <f t="shared" si="49"/>
        <v>7416.5330000000004</v>
      </c>
      <c r="U46" s="61">
        <v>7416.53</v>
      </c>
      <c r="V46" s="61">
        <v>7416.5330000000004</v>
      </c>
      <c r="W46" s="61"/>
      <c r="X46" s="61"/>
      <c r="Y46" s="59"/>
      <c r="Z46" s="59"/>
    </row>
    <row r="47" spans="1:26" s="40" customFormat="1" ht="18" customHeight="1" x14ac:dyDescent="0.25">
      <c r="A47" s="38"/>
      <c r="B47" s="39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</row>
    <row r="48" spans="1:26" s="25" customFormat="1" ht="23.7" customHeight="1" x14ac:dyDescent="0.3">
      <c r="B48" s="25" t="s">
        <v>108</v>
      </c>
      <c r="K48" s="45"/>
      <c r="M48" s="45"/>
      <c r="Y48" s="52"/>
      <c r="Z48" s="52"/>
    </row>
    <row r="49" spans="10:16" ht="15.6" x14ac:dyDescent="0.3">
      <c r="J49" s="25"/>
      <c r="K49" s="25"/>
      <c r="L49" s="83"/>
      <c r="M49" s="83"/>
      <c r="P49" s="41"/>
    </row>
    <row r="50" spans="10:16" ht="15.6" x14ac:dyDescent="0.3">
      <c r="J50" s="25"/>
      <c r="K50" s="26"/>
      <c r="L50" s="83"/>
      <c r="M50" s="83"/>
      <c r="P50" s="41"/>
    </row>
    <row r="51" spans="10:16" ht="15.6" x14ac:dyDescent="0.3">
      <c r="J51" s="25"/>
      <c r="K51" s="25"/>
      <c r="L51" s="83"/>
      <c r="M51" s="83"/>
      <c r="P51" s="41"/>
    </row>
    <row r="52" spans="10:16" ht="15.6" x14ac:dyDescent="0.3">
      <c r="J52" s="25"/>
      <c r="K52" s="25"/>
      <c r="L52" s="84"/>
      <c r="M52" s="84"/>
      <c r="P52" s="41"/>
    </row>
  </sheetData>
  <mergeCells count="39">
    <mergeCell ref="Q7:Q9"/>
    <mergeCell ref="L51:M51"/>
    <mergeCell ref="L52:M52"/>
    <mergeCell ref="W7:X8"/>
    <mergeCell ref="U7:V8"/>
    <mergeCell ref="T8:T9"/>
    <mergeCell ref="N6:N9"/>
    <mergeCell ref="O6:O9"/>
    <mergeCell ref="Q5:X6"/>
    <mergeCell ref="L49:M49"/>
    <mergeCell ref="L50:M50"/>
    <mergeCell ref="R7:T7"/>
    <mergeCell ref="S8:S9"/>
    <mergeCell ref="R8:R9"/>
    <mergeCell ref="Y5:Z8"/>
    <mergeCell ref="Y1:Z1"/>
    <mergeCell ref="A2:Z2"/>
    <mergeCell ref="A3:Z3"/>
    <mergeCell ref="W4:Z4"/>
    <mergeCell ref="K5:K9"/>
    <mergeCell ref="L5:P5"/>
    <mergeCell ref="L6:L9"/>
    <mergeCell ref="M6:M9"/>
    <mergeCell ref="P6:P9"/>
    <mergeCell ref="A5:A9"/>
    <mergeCell ref="B5:B9"/>
    <mergeCell ref="C5:J5"/>
    <mergeCell ref="C6:F6"/>
    <mergeCell ref="G6:J6"/>
    <mergeCell ref="C7:C9"/>
    <mergeCell ref="D7:F7"/>
    <mergeCell ref="G7:G9"/>
    <mergeCell ref="H7:J7"/>
    <mergeCell ref="J8:J9"/>
    <mergeCell ref="D8:D9"/>
    <mergeCell ref="E8:E9"/>
    <mergeCell ref="F8:F9"/>
    <mergeCell ref="H8:H9"/>
    <mergeCell ref="I8:I9"/>
  </mergeCells>
  <pageMargins left="0.31496062992125984" right="0.11811023622047245" top="0.35433070866141736" bottom="0.35433070866141736" header="0.31496062992125984" footer="0.31496062992125984"/>
  <pageSetup paperSize="9" scale="8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0"/>
  <sheetViews>
    <sheetView tabSelected="1" zoomScaleNormal="100" workbookViewId="0">
      <selection activeCell="I6" sqref="I6"/>
    </sheetView>
  </sheetViews>
  <sheetFormatPr defaultColWidth="9" defaultRowHeight="13.8" x14ac:dyDescent="0.25"/>
  <cols>
    <col min="1" max="1" width="5.44140625" style="1" customWidth="1"/>
    <col min="2" max="2" width="34.44140625" style="1" customWidth="1"/>
    <col min="3" max="3" width="11.44140625" style="1" customWidth="1"/>
    <col min="4" max="4" width="10.44140625" style="1" customWidth="1"/>
    <col min="5" max="5" width="12" style="1" customWidth="1"/>
    <col min="6" max="7" width="9.44140625" style="1" customWidth="1"/>
    <col min="8" max="16384" width="9" style="1"/>
  </cols>
  <sheetData>
    <row r="1" spans="1:7" ht="18" x14ac:dyDescent="0.35">
      <c r="A1" s="96"/>
      <c r="B1" s="96"/>
      <c r="C1" s="3"/>
      <c r="D1" s="4"/>
      <c r="E1" s="5"/>
      <c r="F1" s="97" t="s">
        <v>114</v>
      </c>
      <c r="G1" s="97"/>
    </row>
    <row r="2" spans="1:7" ht="17.399999999999999" x14ac:dyDescent="0.3">
      <c r="A2" s="98" t="s">
        <v>59</v>
      </c>
      <c r="B2" s="98"/>
      <c r="C2" s="98"/>
      <c r="D2" s="98"/>
      <c r="E2" s="98"/>
      <c r="F2" s="98"/>
      <c r="G2" s="98"/>
    </row>
    <row r="3" spans="1:7" ht="18" x14ac:dyDescent="0.25">
      <c r="A3" s="99" t="s">
        <v>113</v>
      </c>
      <c r="B3" s="99"/>
      <c r="C3" s="99"/>
      <c r="D3" s="99"/>
      <c r="E3" s="99"/>
      <c r="F3" s="99"/>
      <c r="G3" s="99"/>
    </row>
    <row r="4" spans="1:7" ht="15.6" x14ac:dyDescent="0.3">
      <c r="A4" s="6"/>
      <c r="B4" s="7"/>
      <c r="C4" s="8"/>
      <c r="D4" s="9"/>
      <c r="E4" s="106" t="s">
        <v>0</v>
      </c>
      <c r="F4" s="106"/>
      <c r="G4" s="106"/>
    </row>
    <row r="5" spans="1:7" ht="15.6" x14ac:dyDescent="0.25">
      <c r="A5" s="100" t="s">
        <v>1</v>
      </c>
      <c r="B5" s="101" t="s">
        <v>60</v>
      </c>
      <c r="C5" s="102" t="s">
        <v>61</v>
      </c>
      <c r="D5" s="102" t="s">
        <v>62</v>
      </c>
      <c r="E5" s="103" t="s">
        <v>63</v>
      </c>
      <c r="F5" s="93" t="s">
        <v>64</v>
      </c>
      <c r="G5" s="93"/>
    </row>
    <row r="6" spans="1:7" x14ac:dyDescent="0.25">
      <c r="A6" s="100"/>
      <c r="B6" s="101"/>
      <c r="C6" s="102"/>
      <c r="D6" s="102"/>
      <c r="E6" s="104"/>
      <c r="F6" s="94" t="s">
        <v>65</v>
      </c>
      <c r="G6" s="94" t="s">
        <v>66</v>
      </c>
    </row>
    <row r="7" spans="1:7" ht="33" customHeight="1" x14ac:dyDescent="0.25">
      <c r="A7" s="100"/>
      <c r="B7" s="101"/>
      <c r="C7" s="102"/>
      <c r="D7" s="102"/>
      <c r="E7" s="105"/>
      <c r="F7" s="95"/>
      <c r="G7" s="95"/>
    </row>
    <row r="8" spans="1:7" ht="15.6" x14ac:dyDescent="0.25">
      <c r="A8" s="10" t="s">
        <v>15</v>
      </c>
      <c r="B8" s="11" t="s">
        <v>16</v>
      </c>
      <c r="C8" s="11">
        <v>1</v>
      </c>
      <c r="D8" s="11">
        <v>2</v>
      </c>
      <c r="E8" s="11">
        <v>3</v>
      </c>
      <c r="F8" s="11">
        <v>6</v>
      </c>
      <c r="G8" s="11">
        <v>7</v>
      </c>
    </row>
    <row r="9" spans="1:7" ht="19.2" customHeight="1" x14ac:dyDescent="0.25">
      <c r="A9" s="12"/>
      <c r="B9" s="12" t="s">
        <v>67</v>
      </c>
      <c r="C9" s="13">
        <f>C10+C23+C34+C35+C36+C37+C38+C40</f>
        <v>233405</v>
      </c>
      <c r="D9" s="13">
        <f>D10+D23+D34+D35+D36+D37+D38+D40</f>
        <v>233405</v>
      </c>
      <c r="E9" s="13">
        <f>E10+E23+E34+E36+E37+E38+E39+E40+E35</f>
        <v>180051.32300000003</v>
      </c>
      <c r="F9" s="54">
        <f>E9/C9*100</f>
        <v>77.141159358197143</v>
      </c>
      <c r="G9" s="54">
        <f>E9/D9*100</f>
        <v>77.141159358197143</v>
      </c>
    </row>
    <row r="10" spans="1:7" ht="19.2" customHeight="1" x14ac:dyDescent="0.25">
      <c r="A10" s="14" t="s">
        <v>19</v>
      </c>
      <c r="B10" s="15" t="s">
        <v>68</v>
      </c>
      <c r="C10" s="16"/>
      <c r="D10" s="16"/>
      <c r="E10" s="16">
        <f>E11+E12+E13+E14+E15+E16+E17+E18+E19+E20+E21+E22</f>
        <v>0</v>
      </c>
      <c r="F10" s="54"/>
      <c r="G10" s="54"/>
    </row>
    <row r="11" spans="1:7" ht="19.2" hidden="1" customHeight="1" x14ac:dyDescent="0.25">
      <c r="A11" s="17">
        <v>1</v>
      </c>
      <c r="B11" s="18" t="s">
        <v>69</v>
      </c>
      <c r="C11" s="19"/>
      <c r="D11" s="19"/>
      <c r="E11" s="19">
        <f>[1]Sheet1!F18</f>
        <v>0</v>
      </c>
      <c r="F11" s="55"/>
      <c r="G11" s="55"/>
    </row>
    <row r="12" spans="1:7" ht="19.2" hidden="1" customHeight="1" x14ac:dyDescent="0.25">
      <c r="A12" s="17">
        <v>2</v>
      </c>
      <c r="B12" s="18" t="s">
        <v>70</v>
      </c>
      <c r="C12" s="19"/>
      <c r="D12" s="19"/>
      <c r="E12" s="19">
        <f>[1]Sheet1!F19</f>
        <v>0</v>
      </c>
      <c r="F12" s="55"/>
      <c r="G12" s="55"/>
    </row>
    <row r="13" spans="1:7" ht="19.2" hidden="1" customHeight="1" x14ac:dyDescent="0.25">
      <c r="A13" s="17">
        <v>3</v>
      </c>
      <c r="B13" s="18" t="s">
        <v>71</v>
      </c>
      <c r="C13" s="19"/>
      <c r="D13" s="19"/>
      <c r="E13" s="19"/>
      <c r="F13" s="55"/>
      <c r="G13" s="55"/>
    </row>
    <row r="14" spans="1:7" ht="19.2" hidden="1" customHeight="1" x14ac:dyDescent="0.25">
      <c r="A14" s="17">
        <v>4</v>
      </c>
      <c r="B14" s="18" t="s">
        <v>72</v>
      </c>
      <c r="C14" s="19"/>
      <c r="D14" s="19"/>
      <c r="E14" s="19"/>
      <c r="F14" s="55"/>
      <c r="G14" s="55"/>
    </row>
    <row r="15" spans="1:7" ht="19.2" hidden="1" customHeight="1" x14ac:dyDescent="0.25">
      <c r="A15" s="17">
        <v>5</v>
      </c>
      <c r="B15" s="18" t="s">
        <v>73</v>
      </c>
      <c r="C15" s="19"/>
      <c r="D15" s="19"/>
      <c r="E15" s="19"/>
      <c r="F15" s="55"/>
      <c r="G15" s="55"/>
    </row>
    <row r="16" spans="1:7" ht="19.2" hidden="1" customHeight="1" x14ac:dyDescent="0.25">
      <c r="A16" s="17">
        <v>6</v>
      </c>
      <c r="B16" s="18" t="s">
        <v>74</v>
      </c>
      <c r="C16" s="19"/>
      <c r="D16" s="19"/>
      <c r="E16" s="19"/>
      <c r="F16" s="55"/>
      <c r="G16" s="55"/>
    </row>
    <row r="17" spans="1:10" ht="19.2" hidden="1" customHeight="1" x14ac:dyDescent="0.25">
      <c r="A17" s="17">
        <v>7</v>
      </c>
      <c r="B17" s="18" t="s">
        <v>75</v>
      </c>
      <c r="C17" s="19"/>
      <c r="D17" s="19"/>
      <c r="E17" s="19"/>
      <c r="F17" s="55"/>
      <c r="G17" s="55"/>
    </row>
    <row r="18" spans="1:10" ht="19.2" hidden="1" customHeight="1" x14ac:dyDescent="0.25">
      <c r="A18" s="17">
        <v>8</v>
      </c>
      <c r="B18" s="18" t="s">
        <v>76</v>
      </c>
      <c r="C18" s="19"/>
      <c r="D18" s="19"/>
      <c r="E18" s="19"/>
      <c r="F18" s="55"/>
      <c r="G18" s="55"/>
    </row>
    <row r="19" spans="1:10" ht="19.2" hidden="1" customHeight="1" x14ac:dyDescent="0.25">
      <c r="A19" s="17">
        <v>9</v>
      </c>
      <c r="B19" s="18" t="s">
        <v>77</v>
      </c>
      <c r="C19" s="19"/>
      <c r="D19" s="19"/>
      <c r="E19" s="19"/>
      <c r="F19" s="55"/>
      <c r="G19" s="55"/>
    </row>
    <row r="20" spans="1:10" ht="19.2" hidden="1" customHeight="1" x14ac:dyDescent="0.25">
      <c r="A20" s="17">
        <v>10</v>
      </c>
      <c r="B20" s="18" t="s">
        <v>78</v>
      </c>
      <c r="C20" s="19"/>
      <c r="D20" s="19"/>
      <c r="E20" s="19"/>
      <c r="F20" s="55"/>
      <c r="G20" s="55"/>
    </row>
    <row r="21" spans="1:10" ht="36.6" hidden="1" customHeight="1" x14ac:dyDescent="0.25">
      <c r="A21" s="17">
        <v>11</v>
      </c>
      <c r="B21" s="18" t="s">
        <v>79</v>
      </c>
      <c r="C21" s="19"/>
      <c r="D21" s="19"/>
      <c r="E21" s="19"/>
      <c r="F21" s="55"/>
      <c r="G21" s="55"/>
    </row>
    <row r="22" spans="1:10" ht="19.2" hidden="1" customHeight="1" x14ac:dyDescent="0.25">
      <c r="A22" s="17">
        <v>12</v>
      </c>
      <c r="B22" s="18" t="s">
        <v>80</v>
      </c>
      <c r="C22" s="19"/>
      <c r="D22" s="19"/>
      <c r="E22" s="19"/>
      <c r="F22" s="55"/>
      <c r="G22" s="55"/>
    </row>
    <row r="23" spans="1:10" ht="19.2" customHeight="1" x14ac:dyDescent="0.25">
      <c r="A23" s="14" t="s">
        <v>38</v>
      </c>
      <c r="B23" s="15" t="s">
        <v>81</v>
      </c>
      <c r="C23" s="16">
        <f>SUM(C24:C33)</f>
        <v>222974</v>
      </c>
      <c r="D23" s="16">
        <f t="shared" ref="D23" si="0">SUM(D24:D33)</f>
        <v>222974</v>
      </c>
      <c r="E23" s="16">
        <f>SUM(E24:E33)</f>
        <v>179563.51</v>
      </c>
      <c r="F23" s="54">
        <f>E23/C23*100</f>
        <v>80.531142644433885</v>
      </c>
      <c r="G23" s="54">
        <f t="shared" ref="G23:G40" si="1">E23/D23*100</f>
        <v>80.531142644433885</v>
      </c>
    </row>
    <row r="24" spans="1:10" ht="19.2" customHeight="1" x14ac:dyDescent="0.25">
      <c r="A24" s="17">
        <v>1</v>
      </c>
      <c r="B24" s="18" t="s">
        <v>69</v>
      </c>
      <c r="C24" s="19">
        <v>200</v>
      </c>
      <c r="D24" s="19">
        <v>200</v>
      </c>
      <c r="E24" s="19">
        <v>148.37</v>
      </c>
      <c r="F24" s="55">
        <f t="shared" ref="F24:F40" si="2">E24/C24*100</f>
        <v>74.185000000000002</v>
      </c>
      <c r="G24" s="55">
        <f t="shared" si="1"/>
        <v>74.185000000000002</v>
      </c>
    </row>
    <row r="25" spans="1:10" ht="19.2" customHeight="1" x14ac:dyDescent="0.25">
      <c r="A25" s="17">
        <v>2</v>
      </c>
      <c r="B25" s="18" t="s">
        <v>70</v>
      </c>
      <c r="C25" s="19">
        <v>2396</v>
      </c>
      <c r="D25" s="19">
        <v>2396</v>
      </c>
      <c r="E25" s="19">
        <v>1520.48</v>
      </c>
      <c r="F25" s="55">
        <f t="shared" si="2"/>
        <v>63.459098497495823</v>
      </c>
      <c r="G25" s="55">
        <f t="shared" si="1"/>
        <v>63.459098497495823</v>
      </c>
    </row>
    <row r="26" spans="1:10" ht="19.2" customHeight="1" x14ac:dyDescent="0.25">
      <c r="A26" s="17">
        <v>3</v>
      </c>
      <c r="B26" s="18" t="s">
        <v>71</v>
      </c>
      <c r="C26" s="19">
        <v>122535</v>
      </c>
      <c r="D26" s="19">
        <v>122535</v>
      </c>
      <c r="E26" s="19">
        <f>61852.18+23868</f>
        <v>85720.18</v>
      </c>
      <c r="F26" s="55">
        <f t="shared" si="2"/>
        <v>69.955669808626098</v>
      </c>
      <c r="G26" s="55">
        <f t="shared" si="1"/>
        <v>69.955669808626098</v>
      </c>
    </row>
    <row r="27" spans="1:10" ht="19.2" customHeight="1" x14ac:dyDescent="0.25">
      <c r="A27" s="17">
        <v>4</v>
      </c>
      <c r="B27" s="18" t="s">
        <v>73</v>
      </c>
      <c r="C27" s="19">
        <v>10757</v>
      </c>
      <c r="D27" s="19">
        <v>10757</v>
      </c>
      <c r="E27" s="19">
        <v>6138</v>
      </c>
      <c r="F27" s="55">
        <f t="shared" si="2"/>
        <v>57.060518731988473</v>
      </c>
      <c r="G27" s="55">
        <f t="shared" si="1"/>
        <v>57.060518731988473</v>
      </c>
    </row>
    <row r="28" spans="1:10" ht="19.2" customHeight="1" x14ac:dyDescent="0.25">
      <c r="A28" s="17">
        <v>5</v>
      </c>
      <c r="B28" s="18" t="s">
        <v>74</v>
      </c>
      <c r="C28" s="19">
        <v>961</v>
      </c>
      <c r="D28" s="19">
        <v>961</v>
      </c>
      <c r="E28" s="19">
        <f>113.86+225+241</f>
        <v>579.86</v>
      </c>
      <c r="F28" s="55">
        <f t="shared" si="2"/>
        <v>60.339229968782519</v>
      </c>
      <c r="G28" s="55">
        <f t="shared" si="1"/>
        <v>60.339229968782519</v>
      </c>
    </row>
    <row r="29" spans="1:10" ht="19.2" customHeight="1" x14ac:dyDescent="0.25">
      <c r="A29" s="17">
        <v>6</v>
      </c>
      <c r="B29" s="18" t="s">
        <v>77</v>
      </c>
      <c r="C29" s="19">
        <v>2247</v>
      </c>
      <c r="D29" s="19">
        <v>2247</v>
      </c>
      <c r="E29" s="19">
        <f>31.83+200</f>
        <v>231.82999999999998</v>
      </c>
      <c r="F29" s="55">
        <f t="shared" si="2"/>
        <v>10.317311971517579</v>
      </c>
      <c r="G29" s="55">
        <f t="shared" si="1"/>
        <v>10.317311971517579</v>
      </c>
    </row>
    <row r="30" spans="1:10" ht="19.2" customHeight="1" x14ac:dyDescent="0.25">
      <c r="A30" s="17">
        <v>7</v>
      </c>
      <c r="B30" s="18" t="s">
        <v>78</v>
      </c>
      <c r="C30" s="19">
        <v>38792</v>
      </c>
      <c r="D30" s="19">
        <v>38792</v>
      </c>
      <c r="E30" s="19">
        <f>238.5+936+35381</f>
        <v>36555.5</v>
      </c>
      <c r="F30" s="55">
        <f t="shared" si="2"/>
        <v>94.234636007424214</v>
      </c>
      <c r="G30" s="55">
        <f t="shared" si="1"/>
        <v>94.234636007424214</v>
      </c>
    </row>
    <row r="31" spans="1:10" ht="34.200000000000003" customHeight="1" x14ac:dyDescent="0.25">
      <c r="A31" s="17">
        <v>8</v>
      </c>
      <c r="B31" s="18" t="s">
        <v>79</v>
      </c>
      <c r="C31" s="19">
        <v>32766</v>
      </c>
      <c r="D31" s="19">
        <v>32766</v>
      </c>
      <c r="E31" s="19">
        <f>32403.39+250+1617+650+4929+48.2</f>
        <v>39897.589999999997</v>
      </c>
      <c r="F31" s="55">
        <f t="shared" si="2"/>
        <v>121.76521394128059</v>
      </c>
      <c r="G31" s="55">
        <f t="shared" si="1"/>
        <v>121.76521394128059</v>
      </c>
      <c r="J31" s="2"/>
    </row>
    <row r="32" spans="1:10" ht="19.2" customHeight="1" x14ac:dyDescent="0.25">
      <c r="A32" s="17">
        <v>9</v>
      </c>
      <c r="B32" s="18" t="s">
        <v>82</v>
      </c>
      <c r="C32" s="19">
        <v>12114</v>
      </c>
      <c r="D32" s="19">
        <v>12114</v>
      </c>
      <c r="E32" s="19">
        <f>5909+1280+330+1252.7</f>
        <v>8771.7000000000007</v>
      </c>
      <c r="F32" s="55">
        <f t="shared" si="2"/>
        <v>72.409608717186728</v>
      </c>
      <c r="G32" s="55">
        <f t="shared" si="1"/>
        <v>72.409608717186728</v>
      </c>
    </row>
    <row r="33" spans="1:7" ht="30" customHeight="1" x14ac:dyDescent="0.25">
      <c r="A33" s="17">
        <v>10</v>
      </c>
      <c r="B33" s="18" t="s">
        <v>83</v>
      </c>
      <c r="C33" s="19">
        <v>206</v>
      </c>
      <c r="D33" s="19">
        <v>206</v>
      </c>
      <c r="E33" s="19"/>
      <c r="F33" s="55">
        <f t="shared" si="2"/>
        <v>0</v>
      </c>
      <c r="G33" s="55">
        <f t="shared" si="1"/>
        <v>0</v>
      </c>
    </row>
    <row r="34" spans="1:7" ht="19.2" customHeight="1" x14ac:dyDescent="0.25">
      <c r="A34" s="14" t="s">
        <v>44</v>
      </c>
      <c r="B34" s="15" t="s">
        <v>84</v>
      </c>
      <c r="C34" s="16">
        <v>3482</v>
      </c>
      <c r="D34" s="16">
        <v>3482</v>
      </c>
      <c r="E34" s="16">
        <f>141.7+149+100</f>
        <v>390.7</v>
      </c>
      <c r="F34" s="54">
        <f>E34/C34*100</f>
        <v>11.220562894887994</v>
      </c>
      <c r="G34" s="54">
        <f t="shared" si="1"/>
        <v>11.220562894887994</v>
      </c>
    </row>
    <row r="35" spans="1:7" ht="19.2" customHeight="1" x14ac:dyDescent="0.25">
      <c r="A35" s="14" t="s">
        <v>47</v>
      </c>
      <c r="B35" s="15" t="s">
        <v>85</v>
      </c>
      <c r="C35" s="16"/>
      <c r="D35" s="16"/>
      <c r="E35" s="16"/>
      <c r="F35" s="54"/>
      <c r="G35" s="54"/>
    </row>
    <row r="36" spans="1:7" ht="19.2" customHeight="1" x14ac:dyDescent="0.25">
      <c r="A36" s="14" t="s">
        <v>86</v>
      </c>
      <c r="B36" s="15" t="s">
        <v>87</v>
      </c>
      <c r="C36" s="16"/>
      <c r="D36" s="16"/>
      <c r="E36" s="16"/>
      <c r="F36" s="54"/>
      <c r="G36" s="54"/>
    </row>
    <row r="37" spans="1:7" ht="19.2" customHeight="1" x14ac:dyDescent="0.25">
      <c r="A37" s="14" t="s">
        <v>88</v>
      </c>
      <c r="B37" s="15" t="s">
        <v>89</v>
      </c>
      <c r="C37" s="16">
        <v>1135</v>
      </c>
      <c r="D37" s="16">
        <v>1135</v>
      </c>
      <c r="E37" s="16"/>
      <c r="F37" s="54"/>
      <c r="G37" s="54"/>
    </row>
    <row r="38" spans="1:7" ht="19.2" customHeight="1" x14ac:dyDescent="0.25">
      <c r="A38" s="14" t="s">
        <v>90</v>
      </c>
      <c r="B38" s="15" t="s">
        <v>91</v>
      </c>
      <c r="C38" s="16"/>
      <c r="D38" s="16"/>
      <c r="E38" s="16">
        <v>97.113</v>
      </c>
      <c r="F38" s="54"/>
      <c r="G38" s="54"/>
    </row>
    <row r="39" spans="1:7" ht="19.2" customHeight="1" x14ac:dyDescent="0.25">
      <c r="A39" s="14" t="s">
        <v>92</v>
      </c>
      <c r="B39" s="20" t="s">
        <v>93</v>
      </c>
      <c r="C39" s="21"/>
      <c r="D39" s="21"/>
      <c r="E39" s="21"/>
      <c r="F39" s="54"/>
      <c r="G39" s="54"/>
    </row>
    <row r="40" spans="1:7" ht="19.2" customHeight="1" x14ac:dyDescent="0.25">
      <c r="A40" s="22" t="s">
        <v>94</v>
      </c>
      <c r="B40" s="23" t="s">
        <v>95</v>
      </c>
      <c r="C40" s="24">
        <v>5814</v>
      </c>
      <c r="D40" s="24">
        <v>5814</v>
      </c>
      <c r="E40" s="24"/>
      <c r="F40" s="56">
        <f t="shared" si="2"/>
        <v>0</v>
      </c>
      <c r="G40" s="56">
        <f t="shared" si="1"/>
        <v>0</v>
      </c>
    </row>
  </sheetData>
  <mergeCells count="13">
    <mergeCell ref="F5:G5"/>
    <mergeCell ref="F6:F7"/>
    <mergeCell ref="G6:G7"/>
    <mergeCell ref="A1:B1"/>
    <mergeCell ref="F1:G1"/>
    <mergeCell ref="A2:G2"/>
    <mergeCell ref="A3:G3"/>
    <mergeCell ref="A5:A7"/>
    <mergeCell ref="B5:B7"/>
    <mergeCell ref="C5:C7"/>
    <mergeCell ref="D5:D7"/>
    <mergeCell ref="E5:E7"/>
    <mergeCell ref="E4:G4"/>
  </mergeCells>
  <printOptions horizontalCentered="1"/>
  <pageMargins left="0.2" right="0.2" top="0.5" bottom="0.2" header="0.31496062992126" footer="0.31496062992126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PL thu</vt:lpstr>
      <vt:lpstr>PL chi NS</vt:lpstr>
      <vt:lpstr>'PL thu'!Print_Titles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QuangTrung'PC</dc:creator>
  <cp:lastModifiedBy>Admin</cp:lastModifiedBy>
  <cp:lastPrinted>2025-10-04T09:59:27Z</cp:lastPrinted>
  <dcterms:created xsi:type="dcterms:W3CDTF">2015-06-05T18:17:20Z</dcterms:created>
  <dcterms:modified xsi:type="dcterms:W3CDTF">2025-10-04T10:10:15Z</dcterms:modified>
</cp:coreProperties>
</file>